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0"/>
  </bookViews>
  <sheets>
    <sheet name="додаток1" sheetId="1" r:id="rId1"/>
    <sheet name="Додаток 2" sheetId="2" r:id="rId2"/>
    <sheet name="Додаток 3" sheetId="3" r:id="rId3"/>
    <sheet name="Додаток4" sheetId="4" r:id="rId4"/>
    <sheet name="Додаток 5" sheetId="5" r:id="rId5"/>
    <sheet name="Додаток 6" sheetId="6" r:id="rId6"/>
    <sheet name="Додаток7" sheetId="7" r:id="rId7"/>
  </sheets>
  <definedNames>
    <definedName name="_xlnm.Print_Area" localSheetId="1">'Додаток 2'!$A$1:$F$37</definedName>
    <definedName name="_xlnm.Print_Area" localSheetId="2">'Додаток 3'!$A$1:$P$121</definedName>
    <definedName name="_xlnm.Print_Area" localSheetId="4">'Додаток 5'!$A$1:$F$86</definedName>
    <definedName name="_xlnm.Print_Area" localSheetId="5">'Додаток 6'!$A$1:$J$80</definedName>
    <definedName name="_xlnm.Print_Area" localSheetId="0">'додаток1'!$A$1:$F$133</definedName>
    <definedName name="_xlnm.Print_Titles" localSheetId="1">'Додаток 2'!$7:$11</definedName>
    <definedName name="_xlnm.Print_Titles" localSheetId="2">'Додаток 3'!$11:$15</definedName>
    <definedName name="_xlnm.Print_Titles" localSheetId="4">'Додаток 5'!$6:$12</definedName>
    <definedName name="_xlnm.Print_Titles" localSheetId="5">'Додаток 6'!$10:$10</definedName>
    <definedName name="_xlnm.Print_Titles" localSheetId="0">'додаток1'!$11:$14</definedName>
    <definedName name="_xlnm.Print_Titles" localSheetId="3">'Додаток4'!$12:$16</definedName>
    <definedName name="_xlnm.Print_Titles" localSheetId="6">'Додаток7'!$11:$13</definedName>
    <definedName name="_xlnm.Print_Titles" localSheetId="2">'Додаток 3'!$11:$15</definedName>
    <definedName name="_xlnm.Print_Titles" localSheetId="5">'Додаток 6'!$10:$11</definedName>
    <definedName name="_xlnm.Print_Titles" localSheetId="0">'додаток1'!$11:$14</definedName>
    <definedName name="_xlnm.Print_Titles" localSheetId="6">'Додаток7'!$11:$13</definedName>
    <definedName name="_xlnm.Print_Area" localSheetId="2">'Додаток 3'!$A$1:$P$120</definedName>
    <definedName name="_xlnm.Print_Area" localSheetId="4">'Додаток 5'!$A$1:$F$85</definedName>
    <definedName name="_xlnm.Print_Area" localSheetId="5">'Додаток 6'!$A$1:$J$80</definedName>
    <definedName name="_xlnm.Print_Area" localSheetId="3">'Додаток4'!$A$1:$P$31</definedName>
    <definedName name="_xlnm.Print_Area" localSheetId="6">'Додаток7'!$A$1:$J$105</definedName>
  </definedNames>
  <calcPr fullCalcOnLoad="1"/>
</workbook>
</file>

<file path=xl/sharedStrings.xml><?xml version="1.0" encoding="utf-8"?>
<sst xmlns="http://schemas.openxmlformats.org/spreadsheetml/2006/main" count="1032" uniqueCount="562">
  <si>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</si>
  <si>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</si>
  <si>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</si>
  <si>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</si>
  <si>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</si>
  <si>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</si>
  <si>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</si>
  <si>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</si>
  <si>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</si>
  <si>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</si>
  <si>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</si>
  <si>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</si>
  <si>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</si>
  <si>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</si>
  <si>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</si>
  <si>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</si>
  <si>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</si>
  <si>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</si>
  <si>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</si>
  <si>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</si>
  <si>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</si>
  <si>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</si>
  <si>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</si>
  <si>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</si>
  <si>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</si>
  <si>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</si>
  <si>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</si>
  <si>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</si>
  <si>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</si>
  <si>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</si>
  <si>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</si>
  <si>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</si>
  <si>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</si>
  <si>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</si>
  <si>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</si>
  <si>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</si>
  <si>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</si>
  <si>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</si>
  <si>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</si>
  <si>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</si>
  <si>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</si>
  <si>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</si>
  <si>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</si>
  <si>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</si>
  <si>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</si>
  <si>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</si>
  <si>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</si>
  <si>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</si>
  <si>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</si>
  <si>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</si>
  <si>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</si>
  <si>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</si>
  <si>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</si>
  <si>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</si>
  <si>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</si>
  <si>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</si>
  <si>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</si>
  <si>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</si>
  <si>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</si>
  <si>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</si>
  <si>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</si>
  <si>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</si>
  <si>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</si>
  <si>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</si>
  <si>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</si>
  <si>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</si>
  <si>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</si>
  <si>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</si>
  <si>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</si>
  <si>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</si>
  <si>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</si>
  <si>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</si>
  <si>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</si>
  <si>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</si>
  <si>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</si>
  <si>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</si>
  <si>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</si>
  <si>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</si>
  <si>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</si>
  <si>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</si>
  <si>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</si>
  <si>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</si>
  <si>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</si>
  <si>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</si>
  <si>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</si>
  <si>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</si>
  <si>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</si>
  <si>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</si>
  <si>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</si>
  <si>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</si>
  <si>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</si>
  <si>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</si>
  <si>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</si>
  <si>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</si>
  <si>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</si>
  <si>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</si>
  <si>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</si>
  <si>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</si>
  <si>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</si>
  <si>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</si>
  <si>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</si>
  <si>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</si>
  <si>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</si>
  <si>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</si>
  <si>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</si>
  <si>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</si>
  <si>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</si>
  <si>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</si>
  <si>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</si>
  <si>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</si>
  <si>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</si>
  <si>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</si>
  <si>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</si>
  <si>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</si>
  <si>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(мб)</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</si>
  <si>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</si>
  <si>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</si>
  <si>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</si>
  <si>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</si>
  <si>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</si>
  <si>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</si>
  <si>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</si>
  <si>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</si>
  <si>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</si>
  <si>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</si>
  <si>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</si>
  <si>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</si>
  <si>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</si>
  <si>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</si>
  <si>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</si>
  <si>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</si>
  <si>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</si>
  <si>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</si>
  <si>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</si>
  <si>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</si>
  <si>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</si>
  <si>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</si>
  <si>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</si>
  <si>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</si>
  <si>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</si>
  <si>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</si>
  <si>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</si>
  <si>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</si>
  <si>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</si>
  <si>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</si>
  <si>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</si>
  <si>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</si>
  <si>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</si>
  <si>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</si>
  <si>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</si>
  <si>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</si>
  <si>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</si>
  <si>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</si>
  <si>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</si>
  <si>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</si>
  <si>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</si>
  <si>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</si>
  <si>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</si>
  <si>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</si>
  <si>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</si>
  <si>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</si>
  <si>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</si>
  <si>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</si>
  <si>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</si>
  <si>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</si>
  <si>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</si>
  <si>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</si>
  <si>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</si>
  <si>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</si>
  <si>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</si>
  <si>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</si>
  <si>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</si>
  <si>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</si>
  <si>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</si>
  <si>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</si>
  <si>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</si>
  <si>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</si>
  <si>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</si>
  <si>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</si>
  <si>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</si>
  <si>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</si>
  <si>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</si>
  <si>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</si>
  <si>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</si>
  <si>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Додаток № 4</t>
  </si>
  <si>
    <t>Надання кредитів</t>
  </si>
  <si>
    <t>Повернення кредитів</t>
  </si>
  <si>
    <t>Кредитування - всього</t>
  </si>
  <si>
    <t>Cпеціальний фонд</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</si>
  <si>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</si>
  <si>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</si>
  <si>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</si>
  <si>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</si>
  <si>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 xml:space="preserve">                                                                                                                            </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</si>
  <si>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</si>
  <si>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</si>
  <si>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</si>
  <si>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</si>
  <si>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</si>
  <si>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</si>
  <si>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</si>
  <si>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</si>
  <si>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</si>
  <si>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</si>
  <si>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</si>
  <si>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</si>
  <si>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</si>
  <si>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</si>
  <si>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</si>
  <si>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</si>
  <si>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</si>
  <si>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</si>
  <si>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</si>
  <si>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</si>
  <si>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</si>
  <si>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</si>
  <si>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</si>
  <si>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</si>
  <si>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</si>
  <si>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</si>
  <si>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</si>
  <si>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</si>
  <si>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</si>
  <si>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</si>
  <si>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0601142</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</si>
  <si>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</si>
  <si>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</si>
  <si>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</si>
  <si>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</si>
  <si>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</si>
  <si>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 xml:space="preserve">Капітальний ремонт Денихівського ЗДО «Віночок» (монтажні роботи на встановлення котла опалювального та насоса циркуляційного) </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</si>
  <si>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</si>
  <si>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</si>
  <si>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</si>
  <si>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</si>
  <si>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</si>
  <si>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</si>
  <si>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</si>
  <si>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</si>
  <si>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</si>
  <si>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</si>
  <si>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</si>
  <si>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</si>
  <si>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</si>
  <si>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</si>
  <si>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</si>
  <si>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</si>
  <si>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</si>
  <si>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</si>
  <si>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</si>
  <si>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</si>
  <si>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</si>
  <si>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</si>
  <si>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</si>
  <si>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</si>
  <si>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</si>
  <si>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</si>
  <si>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</si>
  <si>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</si>
  <si>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</si>
  <si>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</si>
  <si>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7363</t>
  </si>
  <si>
    <t>Виконання інвестиційних проектів в рамках здійснення заходів щодо соціально-економічного розвитку окремих територій</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</si>
  <si>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</si>
  <si>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</si>
  <si>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</si>
  <si>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</si>
  <si>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</si>
  <si>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</si>
  <si>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</si>
  <si>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</si>
  <si>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</si>
  <si>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</si>
  <si>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</si>
  <si>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</si>
  <si>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</si>
  <si>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</si>
  <si>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</si>
  <si>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</si>
  <si>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</si>
  <si>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</si>
  <si>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</si>
  <si>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</si>
  <si>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</si>
  <si>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</si>
  <si>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</si>
  <si>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</si>
  <si>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</si>
  <si>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</si>
  <si>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</si>
  <si>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</si>
  <si>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</si>
  <si>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</si>
  <si>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</si>
  <si>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</si>
  <si>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</si>
  <si>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</si>
  <si>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</si>
  <si>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</si>
  <si>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</si>
  <si>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</si>
  <si>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</si>
  <si>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</si>
  <si>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</si>
  <si>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</si>
  <si>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</si>
  <si>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</si>
  <si>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</si>
  <si>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</si>
  <si>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</si>
  <si>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</si>
  <si>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</si>
  <si>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</si>
  <si>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</si>
  <si>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</si>
  <si>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</si>
  <si>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</si>
  <si>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</si>
  <si>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</si>
  <si>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</si>
  <si>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</si>
  <si>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</si>
  <si>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</si>
  <si>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</si>
  <si>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</si>
  <si>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</si>
  <si>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</si>
  <si>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</si>
  <si>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</si>
  <si>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</si>
  <si>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</si>
  <si>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</si>
  <si>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</si>
  <si>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</si>
  <si>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</si>
  <si>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</si>
  <si>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</si>
  <si>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</si>
  <si>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</si>
  <si>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</si>
  <si>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</si>
  <si>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</si>
  <si>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</si>
  <si>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</si>
  <si>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</si>
  <si>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</si>
  <si>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</si>
  <si>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</si>
  <si>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</si>
  <si>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</si>
  <si>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</si>
  <si>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</si>
  <si>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</si>
  <si>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</si>
  <si>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</si>
  <si>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</si>
  <si>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</si>
  <si>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</si>
  <si>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</si>
  <si>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</si>
  <si>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</si>
  <si>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</si>
  <si>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</si>
  <si>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</si>
  <si>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</si>
  <si>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</si>
  <si>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</si>
  <si>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</si>
  <si>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</si>
  <si>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</si>
  <si>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</si>
  <si>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</si>
  <si>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</si>
  <si>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</si>
  <si>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</si>
  <si>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(в редакції рішення двадцять другої сесії Тетіївської міської ради від 01.08.2023 № 978-22-VIII)</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</si>
  <si>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</si>
  <si>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</si>
  <si>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</si>
  <si>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</si>
  <si>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</si>
  <si>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</si>
  <si>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</si>
  <si>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</si>
  <si>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</si>
  <si>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</si>
  <si>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</si>
  <si>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</si>
  <si>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</si>
  <si>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</si>
  <si>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</si>
  <si>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</si>
  <si>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</si>
  <si>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</si>
  <si>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</si>
  <si>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</si>
  <si>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</si>
  <si>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</si>
  <si>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</si>
  <si>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</si>
  <si>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</si>
  <si>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</si>
  <si>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</si>
  <si>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</si>
  <si>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</si>
  <si>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</si>
  <si>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</si>
  <si>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</si>
  <si>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</si>
  <si>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Кредитування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</si>
  <si>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</si>
  <si>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</si>
  <si>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</si>
  <si>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</si>
  <si>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</si>
  <si>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</si>
  <si>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</si>
  <si>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</si>
  <si>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</si>
  <si>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</si>
  <si>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</si>
  <si>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</si>
  <si>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</si>
  <si>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</si>
  <si>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</si>
  <si>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</si>
  <si>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</si>
  <si>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</si>
  <si>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</si>
  <si>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 xml:space="preserve">Капітальний ремонт Кашперівського ЗДО «Ромашка» та Тетіївського ЗДО "Весека" (встановлення блискавко захисту, обладнання пожежною сигналізацією, обробка дерев’яних елементів горища засобами вогнезахисту)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</si>
  <si>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</si>
  <si>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</si>
  <si>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</si>
  <si>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</si>
  <si>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</si>
  <si>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</si>
  <si>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</si>
  <si>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</si>
  <si>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</si>
  <si>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</si>
  <si>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</si>
  <si>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</si>
  <si>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</si>
  <si>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</si>
  <si>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</si>
  <si>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</si>
  <si>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</si>
  <si>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</si>
  <si>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</si>
  <si>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</si>
  <si>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</si>
  <si>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</si>
  <si>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</si>
  <si>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</si>
  <si>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</si>
  <si>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</si>
  <si>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</si>
  <si>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</si>
  <si>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</si>
  <si>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</si>
  <si>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</si>
  <si>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</si>
  <si>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</si>
  <si>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</si>
  <si>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</si>
  <si>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</si>
  <si>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</si>
  <si>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</si>
  <si>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</si>
  <si>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</si>
  <si>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</si>
  <si>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</si>
  <si>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</si>
  <si>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</si>
  <si>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</si>
  <si>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</si>
  <si>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</si>
  <si>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</si>
  <si>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</si>
  <si>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</si>
  <si>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</si>
  <si>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</si>
  <si>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</si>
  <si>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</si>
  <si>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</si>
  <si>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</si>
  <si>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</si>
  <si>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</si>
  <si>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</si>
  <si>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</si>
  <si>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</si>
  <si>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</si>
  <si>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</si>
  <si>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</si>
  <si>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</si>
  <si>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</si>
  <si>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</si>
  <si>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</si>
  <si>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</si>
  <si>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</si>
  <si>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</si>
  <si>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</si>
  <si>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</si>
  <si>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</si>
  <si>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</si>
  <si>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</si>
  <si>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</si>
  <si>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</si>
  <si>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</si>
  <si>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</si>
  <si>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</si>
  <si>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</si>
  <si>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</si>
  <si>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Капітальний ремонт шкільного автобуса</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</si>
  <si>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</si>
  <si>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</si>
  <si>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</si>
  <si>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2023-2025</t>
  </si>
  <si>
    <t>Обсяг капітальних вкладень місцевого бюджету у 2023 році, гривень</t>
  </si>
  <si>
    <t>Очікуваний рівень готовності пректу на кінець 2023 року, %</t>
  </si>
  <si>
    <t>Співфінансування реконструкція будівлі корпусу №1 комунального некомерційного підпрємства "Тетіївська ценртальна лікарня" Тетіївської міської ради,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</si>
  <si>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підпрємства "Тетіївська ценртальна лікарня" Тетіївської міської ради, буд. 26, м. Тетіїв, Білоцерківський район, Київська область</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</si>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</sst>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5">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b/>
      <sz val="16"/>
      <color indexed="8"/>
      <name val="Times New Roman"/>
      <family val="1"/>
    </font>
    <font>
      <sz val="13"/>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sz val="11"/>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4" fillId="0" borderId="0">
      <alignment vertical="top"/>
      <protection/>
    </xf>
    <xf numFmtId="0" fontId="54" fillId="0" borderId="6" applyNumberFormat="0" applyFill="0" applyAlignment="0" applyProtection="0"/>
    <xf numFmtId="0" fontId="55" fillId="21" borderId="7" applyNumberFormat="0" applyAlignment="0" applyProtection="0"/>
    <xf numFmtId="0" fontId="56" fillId="0" borderId="0" applyNumberFormat="0" applyFill="0" applyBorder="0" applyAlignment="0" applyProtection="0"/>
    <xf numFmtId="0" fontId="57" fillId="22" borderId="0" applyNumberFormat="0" applyBorder="0" applyAlignment="0" applyProtection="0"/>
    <xf numFmtId="0" fontId="32" fillId="0" borderId="0" applyNumberFormat="0" applyFill="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2" fillId="4" borderId="0" applyNumberFormat="0" applyBorder="0" applyAlignment="0" applyProtection="0"/>
  </cellStyleXfs>
  <cellXfs count="491">
    <xf numFmtId="0" fontId="0" fillId="0" borderId="0" xfId="0" applyAlignment="1">
      <alignment/>
    </xf>
    <xf numFmtId="0" fontId="4"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9" fillId="0" borderId="0" xfId="0" applyFont="1" applyAlignment="1">
      <alignment horizontal="center"/>
    </xf>
    <xf numFmtId="0" fontId="4" fillId="0" borderId="10" xfId="0" applyFont="1" applyBorder="1" applyAlignment="1">
      <alignment horizontal="center" vertical="center" wrapText="1"/>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23" fillId="0" borderId="0" xfId="0" applyFont="1" applyAlignment="1">
      <alignment vertical="center" wrapText="1"/>
    </xf>
    <xf numFmtId="0" fontId="2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19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97" fontId="26"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4" fillId="0" borderId="10" xfId="0" applyFont="1" applyBorder="1" applyAlignment="1">
      <alignment horizontal="left" vertical="center" wrapText="1"/>
    </xf>
    <xf numFmtId="197" fontId="2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Fill="1" applyAlignment="1">
      <alignment/>
    </xf>
    <xf numFmtId="0" fontId="5" fillId="0" borderId="0" xfId="0" applyFont="1" applyFill="1" applyBorder="1" applyAlignment="1">
      <alignment/>
    </xf>
    <xf numFmtId="0" fontId="9" fillId="0" borderId="0" xfId="0" applyFont="1" applyBorder="1" applyAlignment="1">
      <alignment/>
    </xf>
    <xf numFmtId="197" fontId="9" fillId="0" borderId="0" xfId="0" applyNumberFormat="1" applyFont="1" applyBorder="1" applyAlignment="1">
      <alignment/>
    </xf>
    <xf numFmtId="0" fontId="9" fillId="24" borderId="0" xfId="0" applyFont="1" applyFill="1" applyAlignment="1">
      <alignment/>
    </xf>
    <xf numFmtId="0" fontId="27" fillId="0" borderId="0" xfId="0" applyFont="1" applyAlignment="1">
      <alignment/>
    </xf>
    <xf numFmtId="197" fontId="25" fillId="0" borderId="10" xfId="0" applyNumberFormat="1" applyFont="1" applyFill="1" applyBorder="1" applyAlignment="1">
      <alignment horizontal="center" vertical="center" wrapText="1"/>
    </xf>
    <xf numFmtId="197" fontId="9" fillId="0" borderId="0" xfId="0" applyNumberFormat="1" applyFont="1" applyAlignment="1">
      <alignment/>
    </xf>
    <xf numFmtId="0" fontId="4" fillId="0" borderId="0" xfId="0" applyFont="1" applyAlignment="1">
      <alignment wrapText="1"/>
    </xf>
    <xf numFmtId="0" fontId="9" fillId="0" borderId="0" xfId="0" applyFont="1" applyAlignment="1">
      <alignment wrapText="1"/>
    </xf>
    <xf numFmtId="0" fontId="23" fillId="0" borderId="0" xfId="0" applyFont="1" applyAlignment="1">
      <alignment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3" fontId="4" fillId="0" borderId="0" xfId="0" applyNumberFormat="1" applyFont="1" applyBorder="1" applyAlignment="1">
      <alignment/>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Fill="1" applyBorder="1" applyAlignment="1">
      <alignment horizontal="left" wrapText="1"/>
    </xf>
    <xf numFmtId="0" fontId="16" fillId="0" borderId="10" xfId="0" applyFont="1" applyFill="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1" fontId="16" fillId="0" borderId="10" xfId="0" applyNumberFormat="1" applyFont="1" applyFill="1" applyBorder="1" applyAlignment="1">
      <alignment horizontal="right"/>
    </xf>
    <xf numFmtId="4" fontId="16" fillId="0" borderId="10" xfId="0" applyNumberFormat="1" applyFont="1" applyFill="1" applyBorder="1" applyAlignment="1">
      <alignment horizontal="right" wrapText="1"/>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15" fillId="0" borderId="10" xfId="0" applyFont="1" applyFill="1" applyBorder="1" applyAlignment="1">
      <alignment horizontal="center" wrapText="1"/>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5"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0" fontId="3" fillId="0" borderId="0" xfId="0" applyFont="1" applyAlignment="1">
      <alignment horizontal="right" wrapText="1"/>
    </xf>
    <xf numFmtId="0" fontId="14" fillId="0" borderId="12" xfId="0" applyFont="1" applyFill="1" applyBorder="1" applyAlignment="1">
      <alignment horizontal="center" vertical="center" wrapText="1"/>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0" fontId="7" fillId="0" borderId="12"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3" xfId="0" applyFont="1" applyBorder="1" applyAlignment="1">
      <alignment/>
    </xf>
    <xf numFmtId="4" fontId="63" fillId="0" borderId="10" xfId="0" applyNumberFormat="1" applyFont="1" applyBorder="1" applyAlignment="1">
      <alignment/>
    </xf>
    <xf numFmtId="1" fontId="6" fillId="0" borderId="13" xfId="0" applyNumberFormat="1" applyFont="1" applyBorder="1" applyAlignment="1">
      <alignment horizontal="center"/>
    </xf>
    <xf numFmtId="0" fontId="63" fillId="0" borderId="14" xfId="0" applyFont="1" applyBorder="1" applyAlignment="1">
      <alignment horizontal="left" wrapText="1"/>
    </xf>
    <xf numFmtId="0" fontId="4" fillId="0" borderId="13" xfId="0" applyFont="1" applyBorder="1" applyAlignment="1">
      <alignment horizontal="center" vertical="center"/>
    </xf>
    <xf numFmtId="0" fontId="4" fillId="0" borderId="14" xfId="0" applyFont="1" applyBorder="1" applyAlignment="1">
      <alignment/>
    </xf>
    <xf numFmtId="4" fontId="63" fillId="0" borderId="15" xfId="0" applyNumberFormat="1" applyFont="1" applyBorder="1" applyAlignment="1">
      <alignment/>
    </xf>
    <xf numFmtId="49" fontId="31" fillId="0" borderId="0" xfId="0" applyNumberFormat="1" applyFont="1" applyFill="1" applyAlignment="1">
      <alignment horizontal="center" shrinkToFit="1"/>
    </xf>
    <xf numFmtId="49" fontId="29" fillId="0" borderId="0" xfId="0" applyNumberFormat="1" applyFont="1" applyFill="1" applyAlignment="1">
      <alignment horizontal="center" shrinkToFit="1"/>
    </xf>
    <xf numFmtId="0" fontId="29" fillId="0" borderId="0" xfId="0" applyFont="1" applyFill="1" applyAlignment="1">
      <alignment shrinkToFit="1"/>
    </xf>
    <xf numFmtId="2" fontId="29" fillId="0" borderId="0" xfId="0" applyNumberFormat="1" applyFont="1" applyFill="1" applyAlignment="1">
      <alignment shrinkToFit="1"/>
    </xf>
    <xf numFmtId="1" fontId="29" fillId="0" borderId="0" xfId="0" applyNumberFormat="1" applyFont="1" applyFill="1" applyAlignment="1">
      <alignment shrinkToFit="1"/>
    </xf>
    <xf numFmtId="0" fontId="5" fillId="0" borderId="0" xfId="0" applyFont="1" applyFill="1" applyAlignment="1">
      <alignment horizont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wrapText="1"/>
    </xf>
    <xf numFmtId="0" fontId="9" fillId="0" borderId="0" xfId="0" applyFont="1" applyFill="1" applyAlignment="1">
      <alignment horizontal="center"/>
    </xf>
    <xf numFmtId="0" fontId="4" fillId="0" borderId="10" xfId="0" applyFont="1" applyFill="1" applyBorder="1" applyAlignment="1">
      <alignment horizontal="center" vertical="center" wrapText="1"/>
    </xf>
    <xf numFmtId="0" fontId="41" fillId="0" borderId="0" xfId="0" applyFont="1" applyFill="1" applyAlignment="1">
      <alignment horizontal="center"/>
    </xf>
    <xf numFmtId="0" fontId="42" fillId="0" borderId="0" xfId="0" applyFont="1" applyFill="1" applyAlignment="1">
      <alignment horizontal="center"/>
    </xf>
    <xf numFmtId="0" fontId="7" fillId="0" borderId="11" xfId="0" applyFont="1" applyFill="1" applyBorder="1" applyAlignment="1">
      <alignment horizontal="center" shrinkToFit="1"/>
    </xf>
    <xf numFmtId="0" fontId="14" fillId="0" borderId="0" xfId="0" applyFont="1" applyFill="1" applyAlignment="1">
      <alignment horizontal="center"/>
    </xf>
    <xf numFmtId="0" fontId="14" fillId="0" borderId="0" xfId="0" applyFont="1" applyFill="1" applyAlignment="1">
      <alignment horizontal="center" wrapText="1"/>
    </xf>
    <xf numFmtId="0" fontId="14" fillId="0" borderId="0" xfId="0" applyFont="1" applyFill="1" applyAlignment="1">
      <alignment horizontal="center" wrapText="1" shrinkToFit="1"/>
    </xf>
    <xf numFmtId="0" fontId="9" fillId="0" borderId="0" xfId="0" applyFont="1" applyFill="1" applyAlignment="1">
      <alignment horizontal="center"/>
    </xf>
    <xf numFmtId="0" fontId="3" fillId="0" borderId="0" xfId="0" applyFont="1" applyFill="1" applyAlignment="1">
      <alignment wrapText="1"/>
    </xf>
    <xf numFmtId="0" fontId="28" fillId="0" borderId="0" xfId="0" applyFont="1" applyFill="1" applyAlignment="1">
      <alignment/>
    </xf>
    <xf numFmtId="0" fontId="17" fillId="0" borderId="0" xfId="0" applyFont="1" applyFill="1" applyAlignment="1">
      <alignment horizontal="center"/>
    </xf>
    <xf numFmtId="0" fontId="4" fillId="0" borderId="11" xfId="0" applyFont="1" applyFill="1" applyBorder="1" applyAlignment="1">
      <alignment horizontal="center" shrinkToFit="1"/>
    </xf>
    <xf numFmtId="0" fontId="7" fillId="0" borderId="0" xfId="0" applyFont="1" applyFill="1" applyAlignment="1">
      <alignment horizontal="center"/>
    </xf>
    <xf numFmtId="0" fontId="4" fillId="0" borderId="12" xfId="0" applyFont="1" applyFill="1" applyBorder="1" applyAlignment="1">
      <alignment horizontal="center" vertical="center" wrapText="1"/>
    </xf>
    <xf numFmtId="0" fontId="3" fillId="0" borderId="0" xfId="0" applyFont="1" applyFill="1" applyAlignment="1">
      <alignment/>
    </xf>
    <xf numFmtId="0" fontId="28" fillId="0" borderId="0" xfId="0" applyFont="1" applyFill="1" applyAlignment="1">
      <alignment horizontal="right"/>
    </xf>
    <xf numFmtId="0" fontId="4" fillId="0" borderId="0" xfId="0" applyFont="1" applyFill="1" applyBorder="1" applyAlignment="1">
      <alignment horizontal="right"/>
    </xf>
    <xf numFmtId="0" fontId="3"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xf>
    <xf numFmtId="4" fontId="4"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0" fontId="23" fillId="0" borderId="0" xfId="0" applyFont="1" applyFill="1" applyAlignment="1">
      <alignment/>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0" fontId="23" fillId="0" borderId="0" xfId="0" applyFont="1" applyFill="1" applyAlignment="1">
      <alignment/>
    </xf>
    <xf numFmtId="0" fontId="4" fillId="0" borderId="10" xfId="0" applyFont="1" applyFill="1" applyBorder="1" applyAlignment="1">
      <alignment vertical="center" wrapText="1"/>
    </xf>
    <xf numFmtId="0" fontId="6" fillId="0" borderId="10" xfId="0" applyFont="1" applyFill="1" applyBorder="1" applyAlignment="1">
      <alignment horizontal="left" vertical="center"/>
    </xf>
    <xf numFmtId="1" fontId="9" fillId="0" borderId="0" xfId="0" applyNumberFormat="1" applyFont="1" applyFill="1" applyAlignment="1">
      <alignment/>
    </xf>
    <xf numFmtId="0" fontId="4" fillId="0" borderId="0" xfId="0" applyFont="1" applyFill="1" applyAlignment="1">
      <alignment/>
    </xf>
    <xf numFmtId="196" fontId="9" fillId="0" borderId="0" xfId="0" applyNumberFormat="1" applyFont="1" applyFill="1" applyAlignment="1">
      <alignment/>
    </xf>
    <xf numFmtId="0" fontId="4" fillId="0" borderId="0" xfId="0" applyFont="1" applyFill="1" applyBorder="1" applyAlignment="1">
      <alignment/>
    </xf>
    <xf numFmtId="1" fontId="22" fillId="0" borderId="10" xfId="0" applyNumberFormat="1" applyFont="1" applyFill="1" applyBorder="1" applyAlignment="1">
      <alignment horizontal="center"/>
    </xf>
    <xf numFmtId="0" fontId="4" fillId="0" borderId="0" xfId="0" applyFont="1" applyFill="1" applyAlignment="1">
      <alignment wrapText="1"/>
    </xf>
    <xf numFmtId="0" fontId="14" fillId="0" borderId="0" xfId="0" applyFont="1" applyFill="1" applyAlignment="1">
      <alignment/>
    </xf>
    <xf numFmtId="0" fontId="14" fillId="0" borderId="0" xfId="0" applyFont="1" applyFill="1" applyAlignment="1">
      <alignment horizontal="right" wrapText="1" shrinkToFit="1"/>
    </xf>
    <xf numFmtId="49" fontId="6" fillId="0" borderId="0" xfId="0" applyNumberFormat="1" applyFont="1" applyFill="1" applyAlignment="1">
      <alignment horizontal="center"/>
    </xf>
    <xf numFmtId="0" fontId="18" fillId="0" borderId="0" xfId="0" applyFont="1" applyFill="1" applyAlignment="1">
      <alignment horizontal="center"/>
    </xf>
    <xf numFmtId="0" fontId="30"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4" fontId="5" fillId="0" borderId="10" xfId="0" applyNumberFormat="1" applyFont="1" applyFill="1" applyBorder="1" applyAlignment="1">
      <alignment vertical="center" shrinkToFit="1"/>
    </xf>
    <xf numFmtId="0" fontId="36" fillId="0" borderId="10" xfId="0" applyFont="1" applyFill="1" applyBorder="1" applyAlignment="1">
      <alignment horizontal="left" vertical="center" wrapText="1"/>
    </xf>
    <xf numFmtId="0" fontId="7" fillId="0" borderId="0" xfId="0" applyFont="1" applyFill="1" applyAlignment="1">
      <alignment vertical="center"/>
    </xf>
    <xf numFmtId="49" fontId="7" fillId="0" borderId="0" xfId="0" applyNumberFormat="1" applyFont="1" applyFill="1" applyAlignment="1">
      <alignment horizontal="center" vertical="center"/>
    </xf>
    <xf numFmtId="0" fontId="4" fillId="0" borderId="0" xfId="0" applyFont="1" applyFill="1" applyAlignment="1">
      <alignment horizontal="center"/>
    </xf>
    <xf numFmtId="0" fontId="7" fillId="0" borderId="0" xfId="0" applyFont="1" applyFill="1" applyAlignment="1">
      <alignment/>
    </xf>
    <xf numFmtId="196" fontId="7" fillId="0" borderId="0" xfId="0" applyNumberFormat="1" applyFont="1" applyFill="1" applyAlignment="1">
      <alignment horizontal="center"/>
    </xf>
    <xf numFmtId="0" fontId="7" fillId="0" borderId="0" xfId="0" applyFont="1" applyFill="1" applyAlignment="1">
      <alignment horizontal="center" wrapTex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0" xfId="0" applyFont="1" applyFill="1" applyAlignment="1">
      <alignment vertical="center"/>
    </xf>
    <xf numFmtId="49" fontId="7" fillId="0" borderId="0" xfId="0" applyNumberFormat="1"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xf>
    <xf numFmtId="0" fontId="18"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xf>
    <xf numFmtId="49" fontId="2"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2" fillId="0" borderId="0" xfId="0" applyFont="1" applyFill="1" applyBorder="1" applyAlignment="1">
      <alignment/>
    </xf>
    <xf numFmtId="196" fontId="2" fillId="0" borderId="0" xfId="0" applyNumberFormat="1" applyFont="1" applyFill="1" applyBorder="1" applyAlignment="1">
      <alignment/>
    </xf>
    <xf numFmtId="196" fontId="7" fillId="0" borderId="0" xfId="0" applyNumberFormat="1" applyFont="1" applyFill="1" applyBorder="1" applyAlignment="1">
      <alignment horizontal="right"/>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49" fontId="5" fillId="0" borderId="10"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right" vertical="center"/>
    </xf>
    <xf numFmtId="196"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 fontId="5" fillId="0" borderId="12" xfId="0" applyNumberFormat="1" applyFont="1" applyFill="1" applyBorder="1" applyAlignment="1">
      <alignment horizontal="right" vertical="center" shrinkToFit="1"/>
    </xf>
    <xf numFmtId="0" fontId="5" fillId="0" borderId="0" xfId="0" applyFont="1" applyFill="1" applyAlignment="1">
      <alignment/>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0" fontId="6"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5" fillId="0" borderId="12" xfId="0" applyFont="1" applyFill="1" applyBorder="1" applyAlignment="1">
      <alignment vertical="center" wrapText="1"/>
    </xf>
    <xf numFmtId="0" fontId="7" fillId="0" borderId="18" xfId="0" applyFont="1" applyFill="1" applyBorder="1" applyAlignment="1">
      <alignment horizontal="left" vertical="center" wrapText="1"/>
    </xf>
    <xf numFmtId="0" fontId="6" fillId="0" borderId="0" xfId="0" applyFont="1" applyFill="1" applyAlignment="1">
      <alignment/>
    </xf>
    <xf numFmtId="0" fontId="5" fillId="0" borderId="18"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19"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197" fontId="5" fillId="0" borderId="10" xfId="49" applyNumberFormat="1" applyFont="1" applyFill="1" applyBorder="1" applyAlignment="1">
      <alignment horizontal="left" vertical="center" wrapText="1"/>
      <protection/>
    </xf>
    <xf numFmtId="197" fontId="5" fillId="0" borderId="16" xfId="49" applyNumberFormat="1" applyFont="1" applyFill="1" applyBorder="1" applyAlignment="1">
      <alignment horizontal="left" vertical="center" wrapText="1"/>
      <protection/>
    </xf>
    <xf numFmtId="0" fontId="5" fillId="0" borderId="16" xfId="0" applyFont="1" applyFill="1" applyBorder="1" applyAlignment="1">
      <alignment vertical="center" wrapText="1"/>
    </xf>
    <xf numFmtId="0" fontId="7" fillId="0" borderId="16" xfId="0" applyFont="1" applyFill="1" applyBorder="1" applyAlignment="1">
      <alignment vertical="center" wrapText="1"/>
    </xf>
    <xf numFmtId="49" fontId="12" fillId="0" borderId="10" xfId="0" applyNumberFormat="1" applyFont="1" applyFill="1" applyBorder="1" applyAlignment="1">
      <alignment horizontal="center" vertical="center"/>
    </xf>
    <xf numFmtId="49" fontId="39" fillId="0" borderId="10" xfId="0" applyNumberFormat="1" applyFont="1" applyFill="1" applyBorder="1" applyAlignment="1">
      <alignment horizontal="center" vertical="center"/>
    </xf>
    <xf numFmtId="0" fontId="6" fillId="0" borderId="0" xfId="0" applyFont="1" applyFill="1" applyBorder="1" applyAlignment="1">
      <alignment/>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right"/>
    </xf>
    <xf numFmtId="0" fontId="7"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xf>
    <xf numFmtId="49" fontId="7" fillId="0" borderId="0" xfId="0" applyNumberFormat="1" applyFont="1" applyFill="1" applyBorder="1" applyAlignment="1">
      <alignment horizontal="right" vertical="center"/>
    </xf>
    <xf numFmtId="49" fontId="7" fillId="0" borderId="0" xfId="0" applyNumberFormat="1" applyFont="1" applyFill="1" applyAlignment="1">
      <alignment horizontal="right" vertical="center"/>
    </xf>
    <xf numFmtId="0" fontId="4" fillId="0" borderId="0" xfId="0" applyFont="1" applyFill="1" applyAlignment="1">
      <alignment horizontal="right"/>
    </xf>
    <xf numFmtId="196" fontId="7" fillId="0" borderId="0" xfId="0" applyNumberFormat="1" applyFont="1" applyFill="1" applyAlignment="1">
      <alignment horizontal="right"/>
    </xf>
    <xf numFmtId="196" fontId="7" fillId="0" borderId="0" xfId="0" applyNumberFormat="1" applyFont="1" applyFill="1" applyAlignment="1">
      <alignment/>
    </xf>
    <xf numFmtId="196" fontId="17" fillId="0" borderId="0" xfId="0" applyNumberFormat="1" applyFont="1" applyFill="1" applyAlignment="1">
      <alignment horizontal="center"/>
    </xf>
    <xf numFmtId="0" fontId="17" fillId="0" borderId="0" xfId="0" applyFont="1" applyFill="1" applyAlignment="1">
      <alignment/>
    </xf>
    <xf numFmtId="0" fontId="18" fillId="0" borderId="0" xfId="0" applyFont="1" applyFill="1" applyBorder="1" applyAlignment="1">
      <alignment horizontal="center" wrapText="1"/>
    </xf>
    <xf numFmtId="0" fontId="18" fillId="0" borderId="0" xfId="0" applyFont="1" applyFill="1" applyBorder="1" applyAlignment="1">
      <alignment wrapText="1"/>
    </xf>
    <xf numFmtId="0" fontId="20" fillId="0" borderId="0" xfId="0" applyFont="1" applyFill="1" applyAlignment="1">
      <alignment/>
    </xf>
    <xf numFmtId="0" fontId="13" fillId="0" borderId="0" xfId="0" applyFont="1" applyFill="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21" fillId="0" borderId="0" xfId="0" applyFont="1" applyFill="1" applyAlignment="1">
      <alignment/>
    </xf>
    <xf numFmtId="0" fontId="17" fillId="0" borderId="0" xfId="0" applyFont="1" applyFill="1" applyBorder="1" applyAlignment="1">
      <alignment horizontal="center"/>
    </xf>
    <xf numFmtId="196" fontId="17" fillId="0" borderId="0" xfId="0" applyNumberFormat="1" applyFont="1" applyFill="1" applyBorder="1" applyAlignment="1">
      <alignment horizontal="center"/>
    </xf>
    <xf numFmtId="0" fontId="8" fillId="0" borderId="19" xfId="0"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vertical="center"/>
    </xf>
    <xf numFmtId="0" fontId="17" fillId="0" borderId="0" xfId="0" applyFont="1" applyFill="1" applyBorder="1" applyAlignment="1">
      <alignment/>
    </xf>
    <xf numFmtId="0" fontId="17" fillId="0" borderId="0" xfId="0" applyFont="1" applyFill="1" applyBorder="1" applyAlignment="1">
      <alignment horizontal="right"/>
    </xf>
    <xf numFmtId="0" fontId="17" fillId="0" borderId="0" xfId="0" applyFont="1" applyFill="1" applyBorder="1" applyAlignment="1">
      <alignment textRotation="75" wrapText="1" shrinkToFit="1"/>
    </xf>
    <xf numFmtId="49" fontId="14" fillId="0" borderId="16"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40" fillId="0" borderId="0" xfId="0" applyFont="1" applyFill="1" applyAlignment="1">
      <alignment textRotation="75" wrapText="1" shrinkToFit="1"/>
    </xf>
    <xf numFmtId="49" fontId="4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1"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alignment horizontal="center" textRotation="90"/>
    </xf>
    <xf numFmtId="0" fontId="4" fillId="0" borderId="0" xfId="0" applyFont="1" applyFill="1" applyBorder="1" applyAlignment="1">
      <alignment horizontal="center" vertical="center"/>
    </xf>
    <xf numFmtId="49" fontId="10" fillId="0" borderId="10"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96" fontId="10" fillId="0" borderId="10" xfId="0" applyNumberFormat="1" applyFont="1" applyFill="1" applyBorder="1" applyAlignment="1">
      <alignment horizontal="center" wrapText="1"/>
    </xf>
    <xf numFmtId="4" fontId="10" fillId="0" borderId="10" xfId="0" applyNumberFormat="1" applyFont="1" applyFill="1" applyBorder="1" applyAlignment="1">
      <alignment horizontal="right" wrapText="1"/>
    </xf>
    <xf numFmtId="1" fontId="15" fillId="0" borderId="10" xfId="0" applyNumberFormat="1" applyFont="1" applyFill="1" applyBorder="1" applyAlignment="1">
      <alignment horizontal="right" wrapText="1"/>
    </xf>
    <xf numFmtId="0" fontId="16" fillId="0" borderId="0" xfId="0" applyFont="1" applyFill="1" applyBorder="1" applyAlignment="1">
      <alignment textRotation="180"/>
    </xf>
    <xf numFmtId="0" fontId="16" fillId="0" borderId="0" xfId="0" applyFont="1" applyFill="1" applyBorder="1" applyAlignment="1">
      <alignment vertical="center" textRotation="180"/>
    </xf>
    <xf numFmtId="0" fontId="15" fillId="0" borderId="0" xfId="0" applyFont="1" applyFill="1" applyBorder="1" applyAlignment="1">
      <alignment vertical="center" textRotation="180"/>
    </xf>
    <xf numFmtId="0" fontId="15" fillId="0" borderId="0" xfId="0" applyFont="1" applyFill="1" applyBorder="1" applyAlignment="1">
      <alignment vertical="center"/>
    </xf>
    <xf numFmtId="49" fontId="10" fillId="0" borderId="10" xfId="0" applyNumberFormat="1" applyFont="1" applyFill="1" applyBorder="1" applyAlignment="1">
      <alignment horizontal="center" vertical="center"/>
    </xf>
    <xf numFmtId="0" fontId="16" fillId="0" borderId="0" xfId="0" applyFont="1" applyFill="1" applyBorder="1" applyAlignment="1">
      <alignment/>
    </xf>
    <xf numFmtId="0" fontId="16" fillId="0" borderId="0" xfId="0" applyFont="1" applyFill="1" applyBorder="1" applyAlignment="1">
      <alignment textRotation="90"/>
    </xf>
    <xf numFmtId="0" fontId="16" fillId="0" borderId="0" xfId="0" applyFont="1" applyFill="1" applyBorder="1" applyAlignment="1">
      <alignment vertical="center"/>
    </xf>
    <xf numFmtId="196" fontId="15" fillId="0" borderId="10" xfId="0" applyNumberFormat="1" applyFont="1" applyFill="1" applyBorder="1" applyAlignment="1">
      <alignment horizontal="left" wrapText="1"/>
    </xf>
    <xf numFmtId="0" fontId="37" fillId="0" borderId="10" xfId="0" applyFont="1" applyFill="1" applyBorder="1" applyAlignment="1">
      <alignment horizontal="left" vertical="center" wrapText="1"/>
    </xf>
    <xf numFmtId="0" fontId="15" fillId="0" borderId="0" xfId="0" applyFont="1" applyFill="1" applyBorder="1" applyAlignment="1">
      <alignment/>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5" fillId="0" borderId="0" xfId="0" applyFont="1" applyFill="1" applyBorder="1" applyAlignment="1">
      <alignment textRotation="90"/>
    </xf>
    <xf numFmtId="0" fontId="15" fillId="0" borderId="0" xfId="0" applyFont="1" applyFill="1" applyBorder="1" applyAlignment="1">
      <alignment vertical="center"/>
    </xf>
    <xf numFmtId="0" fontId="38" fillId="0" borderId="10" xfId="0" applyFont="1" applyFill="1" applyBorder="1" applyAlignment="1">
      <alignment horizontal="left" vertical="center" wrapText="1"/>
    </xf>
    <xf numFmtId="0" fontId="16" fillId="0" borderId="10" xfId="0" applyFont="1" applyFill="1" applyBorder="1" applyAlignment="1">
      <alignment horizontal="center" wrapText="1"/>
    </xf>
    <xf numFmtId="1" fontId="16" fillId="0" borderId="10" xfId="0" applyNumberFormat="1" applyFont="1" applyFill="1" applyBorder="1" applyAlignment="1">
      <alignment horizontal="right" wrapText="1"/>
    </xf>
    <xf numFmtId="0" fontId="16" fillId="0" borderId="0" xfId="0" applyFont="1" applyFill="1" applyBorder="1" applyAlignment="1">
      <alignment/>
    </xf>
    <xf numFmtId="0" fontId="16" fillId="0" borderId="0" xfId="0" applyFont="1" applyFill="1" applyBorder="1" applyAlignment="1">
      <alignment textRotation="90"/>
    </xf>
    <xf numFmtId="0" fontId="16" fillId="0" borderId="0" xfId="0" applyFont="1" applyFill="1" applyBorder="1" applyAlignment="1">
      <alignment vertical="center"/>
    </xf>
    <xf numFmtId="0" fontId="38" fillId="0" borderId="20" xfId="0" applyFont="1" applyFill="1" applyBorder="1" applyAlignment="1" applyProtection="1">
      <alignment horizontal="left" wrapText="1"/>
      <protection/>
    </xf>
    <xf numFmtId="0" fontId="16" fillId="0" borderId="0" xfId="0" applyFont="1" applyFill="1" applyBorder="1" applyAlignment="1">
      <alignment shrinkToFit="1"/>
    </xf>
    <xf numFmtId="49" fontId="16" fillId="0" borderId="10" xfId="0" applyNumberFormat="1" applyFont="1" applyFill="1" applyBorder="1" applyAlignment="1">
      <alignment horizontal="center" wrapText="1"/>
    </xf>
    <xf numFmtId="196"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right" shrinkToFit="1"/>
    </xf>
    <xf numFmtId="2" fontId="16" fillId="0" borderId="0" xfId="0" applyNumberFormat="1" applyFont="1" applyFill="1" applyBorder="1" applyAlignment="1">
      <alignment/>
    </xf>
    <xf numFmtId="0" fontId="38" fillId="0" borderId="21" xfId="0" applyFont="1" applyFill="1" applyBorder="1" applyAlignment="1" applyProtection="1">
      <alignment horizontal="left" wrapText="1"/>
      <protection/>
    </xf>
    <xf numFmtId="0" fontId="38" fillId="0" borderId="10" xfId="0" applyFont="1" applyFill="1" applyBorder="1" applyAlignment="1" applyProtection="1">
      <alignment horizontal="left" wrapText="1"/>
      <protection/>
    </xf>
    <xf numFmtId="0" fontId="15" fillId="0" borderId="10" xfId="0" applyFont="1" applyFill="1" applyBorder="1" applyAlignment="1">
      <alignment horizontal="right" wrapText="1"/>
    </xf>
    <xf numFmtId="0" fontId="10" fillId="0" borderId="0" xfId="0" applyFont="1" applyFill="1" applyBorder="1" applyAlignment="1">
      <alignment/>
    </xf>
    <xf numFmtId="0" fontId="10" fillId="0" borderId="0" xfId="0" applyFont="1" applyFill="1" applyBorder="1" applyAlignment="1">
      <alignment vertical="center"/>
    </xf>
    <xf numFmtId="0" fontId="16" fillId="0" borderId="10" xfId="0" applyFont="1" applyFill="1" applyBorder="1" applyAlignment="1">
      <alignment horizontal="right" wrapText="1"/>
    </xf>
    <xf numFmtId="0" fontId="17" fillId="0" borderId="0" xfId="0" applyFont="1" applyFill="1" applyBorder="1" applyAlignment="1">
      <alignment/>
    </xf>
    <xf numFmtId="0" fontId="17" fillId="0" borderId="0" xfId="0" applyFont="1" applyFill="1" applyBorder="1" applyAlignment="1">
      <alignment vertical="center"/>
    </xf>
    <xf numFmtId="0" fontId="17" fillId="0" borderId="0" xfId="0" applyFont="1" applyFill="1" applyBorder="1" applyAlignment="1">
      <alignment/>
    </xf>
    <xf numFmtId="0" fontId="17" fillId="0" borderId="0" xfId="0" applyFont="1" applyFill="1" applyBorder="1" applyAlignment="1">
      <alignment vertical="center"/>
    </xf>
    <xf numFmtId="0" fontId="10" fillId="0" borderId="0" xfId="0" applyFont="1" applyFill="1" applyBorder="1" applyAlignment="1">
      <alignment vertical="center"/>
    </xf>
    <xf numFmtId="1" fontId="17" fillId="0" borderId="0" xfId="0" applyNumberFormat="1" applyFont="1" applyFill="1" applyBorder="1" applyAlignment="1">
      <alignment shrinkToFit="1"/>
    </xf>
    <xf numFmtId="49" fontId="10" fillId="0" borderId="10" xfId="0" applyNumberFormat="1" applyFont="1" applyFill="1" applyBorder="1" applyAlignment="1">
      <alignment horizontal="center"/>
    </xf>
    <xf numFmtId="196" fontId="10" fillId="0" borderId="10" xfId="0" applyNumberFormat="1" applyFont="1" applyFill="1" applyBorder="1" applyAlignment="1">
      <alignment horizontal="center"/>
    </xf>
    <xf numFmtId="4" fontId="10" fillId="0" borderId="10" xfId="0" applyNumberFormat="1" applyFont="1" applyFill="1" applyBorder="1" applyAlignment="1">
      <alignment horizontal="center"/>
    </xf>
    <xf numFmtId="4" fontId="10" fillId="0" borderId="10" xfId="0" applyNumberFormat="1" applyFont="1" applyFill="1" applyBorder="1" applyAlignment="1">
      <alignment vertical="center"/>
    </xf>
    <xf numFmtId="4" fontId="10" fillId="0" borderId="0" xfId="0" applyNumberFormat="1" applyFont="1" applyFill="1" applyBorder="1" applyAlignment="1">
      <alignment shrinkToFit="1"/>
    </xf>
    <xf numFmtId="0" fontId="10" fillId="0" borderId="0" xfId="0" applyFont="1" applyFill="1" applyBorder="1" applyAlignment="1">
      <alignment/>
    </xf>
    <xf numFmtId="0" fontId="16" fillId="0" borderId="0" xfId="0" applyFont="1" applyFill="1" applyBorder="1" applyAlignment="1">
      <alignment horizontal="center"/>
    </xf>
    <xf numFmtId="196" fontId="16" fillId="0" borderId="0" xfId="0" applyNumberFormat="1" applyFont="1" applyFill="1" applyBorder="1" applyAlignment="1">
      <alignment horizontal="center"/>
    </xf>
    <xf numFmtId="0" fontId="16" fillId="0" borderId="0" xfId="0" applyFont="1" applyFill="1" applyBorder="1" applyAlignment="1">
      <alignment/>
    </xf>
    <xf numFmtId="4" fontId="16" fillId="0" borderId="0" xfId="0" applyNumberFormat="1" applyFont="1" applyFill="1" applyBorder="1" applyAlignment="1">
      <alignment/>
    </xf>
    <xf numFmtId="2" fontId="16" fillId="0" borderId="0" xfId="0" applyNumberFormat="1" applyFont="1" applyFill="1" applyBorder="1" applyAlignment="1">
      <alignment/>
    </xf>
    <xf numFmtId="0" fontId="7" fillId="0" borderId="0" xfId="0" applyFont="1" applyFill="1" applyBorder="1" applyAlignment="1">
      <alignment/>
    </xf>
    <xf numFmtId="2" fontId="7" fillId="0" borderId="0" xfId="0" applyNumberFormat="1" applyFont="1" applyFill="1" applyBorder="1" applyAlignment="1">
      <alignment/>
    </xf>
    <xf numFmtId="3" fontId="7" fillId="0" borderId="0" xfId="0" applyNumberFormat="1" applyFont="1" applyFill="1" applyBorder="1" applyAlignment="1">
      <alignment shrinkToFit="1"/>
    </xf>
    <xf numFmtId="3" fontId="17" fillId="0" borderId="0" xfId="0" applyNumberFormat="1"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right"/>
    </xf>
    <xf numFmtId="0" fontId="10" fillId="0" borderId="0" xfId="0" applyFont="1" applyFill="1" applyAlignment="1">
      <alignment horizontal="center"/>
    </xf>
    <xf numFmtId="0" fontId="17" fillId="0" borderId="0" xfId="0" applyFont="1" applyFill="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3" fillId="0" borderId="0" xfId="0" applyFont="1" applyAlignment="1">
      <alignment horizontal="right"/>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 fontId="6" fillId="0" borderId="13" xfId="0" applyNumberFormat="1" applyFont="1" applyBorder="1" applyAlignment="1">
      <alignment horizontal="center"/>
    </xf>
    <xf numFmtId="1" fontId="6" fillId="0" borderId="14" xfId="0" applyNumberFormat="1" applyFont="1" applyBorder="1" applyAlignment="1">
      <alignment horizontal="center"/>
    </xf>
    <xf numFmtId="1" fontId="6" fillId="0" borderId="15" xfId="0" applyNumberFormat="1" applyFont="1" applyBorder="1" applyAlignment="1">
      <alignment horizontal="center"/>
    </xf>
    <xf numFmtId="0" fontId="6" fillId="0" borderId="13"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Alignment="1">
      <alignment horizont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wrapText="1"/>
    </xf>
    <xf numFmtId="0" fontId="24" fillId="0" borderId="0" xfId="0" applyFont="1" applyFill="1" applyAlignment="1">
      <alignment horizontal="center" vertical="center" wrapText="1"/>
    </xf>
    <xf numFmtId="0" fontId="43" fillId="0" borderId="0" xfId="0" applyFont="1" applyAlignment="1">
      <alignment horizontal="center"/>
    </xf>
    <xf numFmtId="0" fontId="4" fillId="0" borderId="11" xfId="0" applyFont="1" applyBorder="1" applyAlignment="1">
      <alignment horizontal="center" shrinkToFit="1"/>
    </xf>
    <xf numFmtId="0" fontId="9" fillId="24" borderId="0" xfId="0" applyFont="1" applyFill="1" applyAlignment="1">
      <alignment horizontal="center"/>
    </xf>
    <xf numFmtId="0" fontId="24" fillId="0" borderId="10" xfId="0" applyFont="1" applyBorder="1" applyAlignment="1">
      <alignment horizontal="center" vertical="top"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2"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8" fillId="0" borderId="0" xfId="0" applyFont="1" applyAlignment="1">
      <alignment horizontal="center"/>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63" fillId="0" borderId="13" xfId="0" applyFont="1" applyBorder="1" applyAlignment="1">
      <alignment horizontal="left" wrapText="1"/>
    </xf>
    <xf numFmtId="0" fontId="63" fillId="0" borderId="14" xfId="0" applyFont="1" applyBorder="1" applyAlignment="1">
      <alignment horizontal="left" wrapText="1"/>
    </xf>
    <xf numFmtId="0" fontId="63" fillId="0" borderId="15"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1" fontId="6" fillId="0" borderId="13" xfId="0" applyNumberFormat="1" applyFont="1" applyBorder="1" applyAlignment="1">
      <alignment horizontal="center"/>
    </xf>
    <xf numFmtId="1" fontId="6" fillId="0" borderId="14" xfId="0" applyNumberFormat="1" applyFont="1" applyBorder="1" applyAlignment="1">
      <alignment horizontal="center"/>
    </xf>
    <xf numFmtId="1" fontId="6" fillId="0" borderId="15" xfId="0" applyNumberFormat="1" applyFont="1" applyBorder="1" applyAlignment="1">
      <alignment horizont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22" fillId="0" borderId="13" xfId="0" applyNumberFormat="1" applyFont="1" applyBorder="1" applyAlignment="1">
      <alignment horizontal="center"/>
    </xf>
    <xf numFmtId="1" fontId="22" fillId="0" borderId="14" xfId="0" applyNumberFormat="1" applyFont="1" applyBorder="1" applyAlignment="1">
      <alignment horizontal="center"/>
    </xf>
    <xf numFmtId="1" fontId="22" fillId="0" borderId="15" xfId="0" applyNumberFormat="1" applyFont="1" applyBorder="1" applyAlignment="1">
      <alignment horizontal="center"/>
    </xf>
    <xf numFmtId="0" fontId="23" fillId="0" borderId="16"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0" xfId="0" applyFont="1" applyBorder="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0"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Alignment="1">
      <alignment horizontal="center" wrapText="1"/>
    </xf>
    <xf numFmtId="0" fontId="41" fillId="0" borderId="0" xfId="0" applyFont="1" applyFill="1" applyBorder="1" applyAlignment="1">
      <alignment horizontal="center" wrapText="1"/>
    </xf>
    <xf numFmtId="0" fontId="17" fillId="0" borderId="0" xfId="0" applyFont="1" applyFill="1" applyBorder="1" applyAlignment="1">
      <alignment textRotation="75" wrapText="1" shrinkToFit="1"/>
    </xf>
    <xf numFmtId="0" fontId="40" fillId="0" borderId="0" xfId="0" applyFont="1" applyFill="1" applyAlignment="1">
      <alignment textRotation="75" wrapText="1" shrinkToFit="1"/>
    </xf>
    <xf numFmtId="0" fontId="7" fillId="0" borderId="0" xfId="0" applyFont="1" applyFill="1" applyAlignment="1">
      <alignment horizontal="center"/>
    </xf>
    <xf numFmtId="0" fontId="18" fillId="0" borderId="0" xfId="0" applyFont="1" applyFill="1" applyBorder="1" applyAlignment="1">
      <alignment horizontal="center"/>
    </xf>
    <xf numFmtId="196" fontId="7" fillId="0" borderId="0" xfId="0" applyNumberFormat="1"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wrapText="1"/>
    </xf>
    <xf numFmtId="0" fontId="0" fillId="0" borderId="0" xfId="0" applyFill="1" applyAlignment="1">
      <alignment horizontal="center" wrapText="1"/>
    </xf>
    <xf numFmtId="0" fontId="7" fillId="0" borderId="0" xfId="0" applyFont="1" applyFill="1" applyAlignment="1">
      <alignment horizontal="center" wrapText="1" shrinkToFit="1"/>
    </xf>
    <xf numFmtId="0" fontId="0" fillId="0" borderId="0" xfId="0" applyFill="1" applyAlignment="1">
      <alignment horizontal="center" wrapText="1" shrinkToFi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0" xfId="0" applyFont="1" applyFill="1" applyBorder="1" applyAlignment="1">
      <alignment horizontal="center"/>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0"/>
  <sheetViews>
    <sheetView tabSelected="1" workbookViewId="0" topLeftCell="A1">
      <selection activeCell="C18" sqref="C18"/>
    </sheetView>
  </sheetViews>
  <sheetFormatPr defaultColWidth="9.00390625" defaultRowHeight="12.75"/>
  <cols>
    <col min="1" max="1" width="14.375" style="162" customWidth="1"/>
    <col min="2" max="2" width="58.125" style="164" customWidth="1"/>
    <col min="3" max="3" width="18.75390625" style="164" customWidth="1"/>
    <col min="4" max="4" width="17.125" style="121" customWidth="1"/>
    <col min="5" max="5" width="16.125" style="121" customWidth="1"/>
    <col min="6" max="6" width="16.00390625" style="121" customWidth="1"/>
    <col min="7" max="7" width="9.125" style="121" bestFit="1" customWidth="1"/>
    <col min="8" max="16384" width="9.125" style="121" customWidth="1"/>
  </cols>
  <sheetData>
    <row r="1" spans="2:6" ht="13.5">
      <c r="B1" s="121"/>
      <c r="C1" s="121"/>
      <c r="D1" s="372" t="s">
        <v>454</v>
      </c>
      <c r="E1" s="372"/>
      <c r="F1" s="372"/>
    </row>
    <row r="2" spans="2:6" ht="13.5">
      <c r="B2" s="121"/>
      <c r="C2" s="121"/>
      <c r="D2" s="372" t="s">
        <v>443</v>
      </c>
      <c r="E2" s="372"/>
      <c r="F2" s="372"/>
    </row>
    <row r="3" spans="2:6" ht="31.5" customHeight="1">
      <c r="B3" s="121"/>
      <c r="C3" s="163"/>
      <c r="D3" s="373" t="s">
        <v>430</v>
      </c>
      <c r="E3" s="373"/>
      <c r="F3" s="373"/>
    </row>
    <row r="4" spans="2:6" ht="30.75" customHeight="1">
      <c r="B4" s="121"/>
      <c r="C4" s="153"/>
      <c r="D4" s="377" t="s">
        <v>375</v>
      </c>
      <c r="E4" s="377"/>
      <c r="F4" s="377"/>
    </row>
    <row r="5" spans="2:6" ht="13.5">
      <c r="B5" s="121"/>
      <c r="C5" s="374"/>
      <c r="D5" s="374"/>
      <c r="E5" s="374"/>
      <c r="F5" s="374"/>
    </row>
    <row r="6" ht="12.75">
      <c r="F6" s="164"/>
    </row>
    <row r="7" spans="1:6" ht="21">
      <c r="A7" s="375" t="s">
        <v>402</v>
      </c>
      <c r="B7" s="376"/>
      <c r="C7" s="376"/>
      <c r="D7" s="376"/>
      <c r="E7" s="376"/>
      <c r="F7" s="376"/>
    </row>
    <row r="8" spans="1:6" ht="17.25" customHeight="1">
      <c r="A8" s="166">
        <v>1050800000</v>
      </c>
      <c r="B8" s="167"/>
      <c r="C8" s="167"/>
      <c r="D8" s="167"/>
      <c r="E8" s="167"/>
      <c r="F8" s="167"/>
    </row>
    <row r="9" spans="1:6" ht="17.25" customHeight="1">
      <c r="A9" s="162" t="s">
        <v>455</v>
      </c>
      <c r="B9" s="169"/>
      <c r="C9" s="167"/>
      <c r="D9" s="167"/>
      <c r="E9" s="167"/>
      <c r="F9" s="167"/>
    </row>
    <row r="10" spans="3:6" ht="21" customHeight="1">
      <c r="C10" s="170"/>
      <c r="F10" s="171" t="s">
        <v>456</v>
      </c>
    </row>
    <row r="11" spans="1:11" s="128" customFormat="1" ht="13.5" customHeight="1">
      <c r="A11" s="378" t="s">
        <v>457</v>
      </c>
      <c r="B11" s="378" t="s">
        <v>458</v>
      </c>
      <c r="C11" s="378" t="s">
        <v>459</v>
      </c>
      <c r="D11" s="378" t="s">
        <v>460</v>
      </c>
      <c r="E11" s="378" t="s">
        <v>461</v>
      </c>
      <c r="F11" s="378"/>
      <c r="G11" s="172"/>
      <c r="H11" s="172"/>
      <c r="I11" s="172"/>
      <c r="J11" s="172"/>
      <c r="K11" s="172"/>
    </row>
    <row r="12" spans="1:11" s="128" customFormat="1" ht="12.75" customHeight="1">
      <c r="A12" s="378"/>
      <c r="B12" s="378"/>
      <c r="C12" s="378"/>
      <c r="D12" s="378"/>
      <c r="E12" s="378" t="s">
        <v>462</v>
      </c>
      <c r="F12" s="378" t="s">
        <v>463</v>
      </c>
      <c r="G12" s="172"/>
      <c r="H12" s="172"/>
      <c r="I12" s="172"/>
      <c r="J12" s="172"/>
      <c r="K12" s="172"/>
    </row>
    <row r="13" spans="1:11" s="128" customFormat="1" ht="13.5">
      <c r="A13" s="378"/>
      <c r="B13" s="378"/>
      <c r="C13" s="378"/>
      <c r="D13" s="378"/>
      <c r="E13" s="378"/>
      <c r="F13" s="378"/>
      <c r="G13" s="172"/>
      <c r="H13" s="172"/>
      <c r="I13" s="172"/>
      <c r="J13" s="172"/>
      <c r="K13" s="172"/>
    </row>
    <row r="14" spans="1:11" s="175" customFormat="1" ht="13.5">
      <c r="A14" s="173">
        <v>1</v>
      </c>
      <c r="B14" s="173">
        <v>2</v>
      </c>
      <c r="C14" s="173">
        <v>3</v>
      </c>
      <c r="D14" s="173">
        <v>4</v>
      </c>
      <c r="E14" s="173">
        <v>5</v>
      </c>
      <c r="F14" s="173">
        <v>6</v>
      </c>
      <c r="G14" s="174"/>
      <c r="H14" s="174"/>
      <c r="I14" s="174"/>
      <c r="J14" s="174"/>
      <c r="K14" s="174"/>
    </row>
    <row r="15" spans="1:6" ht="15">
      <c r="A15" s="61">
        <v>10000000</v>
      </c>
      <c r="B15" s="62" t="s">
        <v>464</v>
      </c>
      <c r="C15" s="64">
        <f aca="true" t="shared" si="0" ref="C15:C26">SUM(D15:E15)</f>
        <v>174962247</v>
      </c>
      <c r="D15" s="63">
        <f>D16+D24+D34+D42+D60</f>
        <v>174830157</v>
      </c>
      <c r="E15" s="63">
        <f>E16+E24+E34+E42+E60</f>
        <v>132090</v>
      </c>
      <c r="F15" s="63">
        <f>F16+F24+F34+F42+F60</f>
        <v>0</v>
      </c>
    </row>
    <row r="16" spans="1:6" ht="30.75">
      <c r="A16" s="61">
        <v>11000000</v>
      </c>
      <c r="B16" s="62" t="s">
        <v>465</v>
      </c>
      <c r="C16" s="64">
        <f t="shared" si="0"/>
        <v>111855254</v>
      </c>
      <c r="D16" s="63">
        <f>D17+D22</f>
        <v>111855254</v>
      </c>
      <c r="E16" s="63">
        <f>E17+E22</f>
        <v>0</v>
      </c>
      <c r="F16" s="63">
        <f>F17+F22</f>
        <v>0</v>
      </c>
    </row>
    <row r="17" spans="1:6" ht="15">
      <c r="A17" s="61">
        <v>11010000</v>
      </c>
      <c r="B17" s="62" t="s">
        <v>466</v>
      </c>
      <c r="C17" s="64">
        <f t="shared" si="0"/>
        <v>111830254</v>
      </c>
      <c r="D17" s="63">
        <f>SUM(D18:D21)</f>
        <v>111830254</v>
      </c>
      <c r="E17" s="63">
        <f>SUM(E18:E21)</f>
        <v>0</v>
      </c>
      <c r="F17" s="63">
        <f>SUM(F18:F21)</f>
        <v>0</v>
      </c>
    </row>
    <row r="18" spans="1:6" ht="46.5">
      <c r="A18" s="26">
        <v>11010100</v>
      </c>
      <c r="B18" s="60" t="s">
        <v>467</v>
      </c>
      <c r="C18" s="176">
        <f t="shared" si="0"/>
        <v>81507342</v>
      </c>
      <c r="D18" s="58">
        <f>77049850+3226835+1233657-3000</f>
        <v>81507342</v>
      </c>
      <c r="E18" s="58"/>
      <c r="F18" s="58"/>
    </row>
    <row r="19" spans="1:6" ht="78" customHeight="1">
      <c r="A19" s="26">
        <v>11010200</v>
      </c>
      <c r="B19" s="60" t="s">
        <v>468</v>
      </c>
      <c r="C19" s="176">
        <f t="shared" si="0"/>
        <v>10309300</v>
      </c>
      <c r="D19" s="58">
        <v>10309300</v>
      </c>
      <c r="E19" s="58"/>
      <c r="F19" s="58"/>
    </row>
    <row r="20" spans="1:6" ht="46.5">
      <c r="A20" s="26">
        <v>11010400</v>
      </c>
      <c r="B20" s="60" t="s">
        <v>469</v>
      </c>
      <c r="C20" s="176">
        <f t="shared" si="0"/>
        <v>19165862</v>
      </c>
      <c r="D20" s="58">
        <f>17409850+1401012+355000</f>
        <v>19165862</v>
      </c>
      <c r="E20" s="58"/>
      <c r="F20" s="58"/>
    </row>
    <row r="21" spans="1:6" ht="40.5" customHeight="1">
      <c r="A21" s="26">
        <v>11010500</v>
      </c>
      <c r="B21" s="60" t="s">
        <v>470</v>
      </c>
      <c r="C21" s="176">
        <f t="shared" si="0"/>
        <v>847750</v>
      </c>
      <c r="D21" s="58">
        <v>847750</v>
      </c>
      <c r="E21" s="58"/>
      <c r="F21" s="58"/>
    </row>
    <row r="22" spans="1:6" ht="26.25" customHeight="1">
      <c r="A22" s="61">
        <v>11020000</v>
      </c>
      <c r="B22" s="62" t="s">
        <v>233</v>
      </c>
      <c r="C22" s="177">
        <f t="shared" si="0"/>
        <v>25000</v>
      </c>
      <c r="D22" s="63">
        <f>SUM(D23)</f>
        <v>25000</v>
      </c>
      <c r="E22" s="63">
        <f>SUM(E23)</f>
        <v>0</v>
      </c>
      <c r="F22" s="63">
        <f>SUM(F23)</f>
        <v>0</v>
      </c>
    </row>
    <row r="23" spans="1:6" ht="40.5" customHeight="1">
      <c r="A23" s="26">
        <v>11020200</v>
      </c>
      <c r="B23" s="60" t="s">
        <v>234</v>
      </c>
      <c r="C23" s="176">
        <f t="shared" si="0"/>
        <v>25000</v>
      </c>
      <c r="D23" s="58">
        <f>5000+20000</f>
        <v>25000</v>
      </c>
      <c r="E23" s="58"/>
      <c r="F23" s="58"/>
    </row>
    <row r="24" spans="1:6" s="178" customFormat="1" ht="30.75">
      <c r="A24" s="61">
        <v>13000000</v>
      </c>
      <c r="B24" s="62" t="s">
        <v>471</v>
      </c>
      <c r="C24" s="64">
        <f t="shared" si="0"/>
        <v>437900</v>
      </c>
      <c r="D24" s="63">
        <f>D25+D30+D28+D32</f>
        <v>437900</v>
      </c>
      <c r="E24" s="63">
        <f>E25+E30</f>
        <v>0</v>
      </c>
      <c r="F24" s="63">
        <f>F25+F30</f>
        <v>0</v>
      </c>
    </row>
    <row r="25" spans="1:6" s="178" customFormat="1" ht="30.75">
      <c r="A25" s="61">
        <v>13010000</v>
      </c>
      <c r="B25" s="62" t="s">
        <v>472</v>
      </c>
      <c r="C25" s="64">
        <f t="shared" si="0"/>
        <v>393350</v>
      </c>
      <c r="D25" s="63">
        <f>SUM(D26:D27)</f>
        <v>393350</v>
      </c>
      <c r="E25" s="63">
        <f>SUM(E26:E27)</f>
        <v>0</v>
      </c>
      <c r="F25" s="63">
        <f>SUM(F26:F27)</f>
        <v>0</v>
      </c>
    </row>
    <row r="26" spans="1:6" ht="51" customHeight="1">
      <c r="A26" s="26">
        <v>13010100</v>
      </c>
      <c r="B26" s="60" t="s">
        <v>473</v>
      </c>
      <c r="C26" s="176">
        <f t="shared" si="0"/>
        <v>135150</v>
      </c>
      <c r="D26" s="58">
        <f>127150+8000</f>
        <v>135150</v>
      </c>
      <c r="E26" s="58"/>
      <c r="F26" s="58"/>
    </row>
    <row r="27" spans="1:6" s="178" customFormat="1" ht="62.25">
      <c r="A27" s="26">
        <v>13010200</v>
      </c>
      <c r="B27" s="60" t="s">
        <v>474</v>
      </c>
      <c r="C27" s="176">
        <f aca="true" t="shared" si="1" ref="C27:C71">SUM(D27:E27)</f>
        <v>258200</v>
      </c>
      <c r="D27" s="58">
        <v>258200</v>
      </c>
      <c r="E27" s="58"/>
      <c r="F27" s="58"/>
    </row>
    <row r="28" spans="1:6" s="178" customFormat="1" ht="15" hidden="1">
      <c r="A28" s="61">
        <v>13020000</v>
      </c>
      <c r="B28" s="62" t="s">
        <v>325</v>
      </c>
      <c r="C28" s="64">
        <f>SUM(D28:E28)</f>
        <v>0</v>
      </c>
      <c r="D28" s="63">
        <f>SUM(D29)</f>
        <v>0</v>
      </c>
      <c r="E28" s="63">
        <f>SUM(E29)</f>
        <v>0</v>
      </c>
      <c r="F28" s="63">
        <f>SUM(F29)</f>
        <v>0</v>
      </c>
    </row>
    <row r="29" spans="1:6" s="178" customFormat="1" ht="30.75" hidden="1">
      <c r="A29" s="26">
        <v>13020200</v>
      </c>
      <c r="B29" s="60" t="s">
        <v>326</v>
      </c>
      <c r="C29" s="176">
        <f>SUM(D29:E29)</f>
        <v>0</v>
      </c>
      <c r="D29" s="58"/>
      <c r="E29" s="58"/>
      <c r="F29" s="58"/>
    </row>
    <row r="30" spans="1:6" s="178" customFormat="1" ht="30.75">
      <c r="A30" s="61">
        <v>13030000</v>
      </c>
      <c r="B30" s="62" t="s">
        <v>327</v>
      </c>
      <c r="C30" s="64">
        <f t="shared" si="1"/>
        <v>14800</v>
      </c>
      <c r="D30" s="63">
        <f>SUM(D31)</f>
        <v>14800</v>
      </c>
      <c r="E30" s="63">
        <f>SUM(E31)</f>
        <v>0</v>
      </c>
      <c r="F30" s="63">
        <f>SUM(F31)</f>
        <v>0</v>
      </c>
    </row>
    <row r="31" spans="1:6" s="178" customFormat="1" ht="30.75">
      <c r="A31" s="26">
        <v>13030100</v>
      </c>
      <c r="B31" s="60" t="s">
        <v>475</v>
      </c>
      <c r="C31" s="176">
        <f t="shared" si="1"/>
        <v>14800</v>
      </c>
      <c r="D31" s="58">
        <v>14800</v>
      </c>
      <c r="E31" s="58"/>
      <c r="F31" s="58"/>
    </row>
    <row r="32" spans="1:6" s="178" customFormat="1" ht="30.75">
      <c r="A32" s="61">
        <v>13040000</v>
      </c>
      <c r="B32" s="62" t="s">
        <v>328</v>
      </c>
      <c r="C32" s="64">
        <f>SUM(D32:E32)</f>
        <v>29750</v>
      </c>
      <c r="D32" s="63">
        <f>SUM(D33)</f>
        <v>29750</v>
      </c>
      <c r="E32" s="63">
        <f>SUM(E33)</f>
        <v>0</v>
      </c>
      <c r="F32" s="63">
        <f>SUM(F33)</f>
        <v>0</v>
      </c>
    </row>
    <row r="33" spans="1:6" s="178" customFormat="1" ht="30.75">
      <c r="A33" s="26">
        <v>13040100</v>
      </c>
      <c r="B33" s="60" t="s">
        <v>329</v>
      </c>
      <c r="C33" s="176">
        <f>SUM(D33:E33)</f>
        <v>29750</v>
      </c>
      <c r="D33" s="58">
        <v>29750</v>
      </c>
      <c r="E33" s="58"/>
      <c r="F33" s="58"/>
    </row>
    <row r="34" spans="1:6" s="178" customFormat="1" ht="15">
      <c r="A34" s="61">
        <v>14000000</v>
      </c>
      <c r="B34" s="62" t="s">
        <v>476</v>
      </c>
      <c r="C34" s="64">
        <f t="shared" si="1"/>
        <v>6563400</v>
      </c>
      <c r="D34" s="63">
        <f>D35+D37+D39</f>
        <v>6563400</v>
      </c>
      <c r="E34" s="63">
        <f>E35+E37+E39</f>
        <v>0</v>
      </c>
      <c r="F34" s="63">
        <f>F35+F37+F39</f>
        <v>0</v>
      </c>
    </row>
    <row r="35" spans="1:6" s="178" customFormat="1" ht="30.75">
      <c r="A35" s="61">
        <v>14020000</v>
      </c>
      <c r="B35" s="62" t="s">
        <v>477</v>
      </c>
      <c r="C35" s="64">
        <f t="shared" si="1"/>
        <v>498700</v>
      </c>
      <c r="D35" s="63">
        <f>SUM(D36)</f>
        <v>498700</v>
      </c>
      <c r="E35" s="63">
        <f>SUM(E36)</f>
        <v>0</v>
      </c>
      <c r="F35" s="63">
        <f>SUM(F36)</f>
        <v>0</v>
      </c>
    </row>
    <row r="36" spans="1:6" s="178" customFormat="1" ht="15">
      <c r="A36" s="26">
        <v>14021900</v>
      </c>
      <c r="B36" s="60" t="s">
        <v>478</v>
      </c>
      <c r="C36" s="176">
        <f t="shared" si="1"/>
        <v>498700</v>
      </c>
      <c r="D36" s="58">
        <f>241300+70000+187400</f>
        <v>498700</v>
      </c>
      <c r="E36" s="58"/>
      <c r="F36" s="58"/>
    </row>
    <row r="37" spans="1:6" s="178" customFormat="1" ht="30.75">
      <c r="A37" s="61">
        <v>14030000</v>
      </c>
      <c r="B37" s="62" t="s">
        <v>479</v>
      </c>
      <c r="C37" s="64">
        <f t="shared" si="1"/>
        <v>3169300</v>
      </c>
      <c r="D37" s="63">
        <f>SUM(D38)</f>
        <v>3169300</v>
      </c>
      <c r="E37" s="63">
        <f>SUM(E38)</f>
        <v>0</v>
      </c>
      <c r="F37" s="63">
        <f>SUM(F38)</f>
        <v>0</v>
      </c>
    </row>
    <row r="38" spans="1:6" s="178" customFormat="1" ht="15">
      <c r="A38" s="26">
        <v>14031900</v>
      </c>
      <c r="B38" s="60" t="s">
        <v>478</v>
      </c>
      <c r="C38" s="176">
        <f t="shared" si="1"/>
        <v>3169300</v>
      </c>
      <c r="D38" s="58">
        <v>3169300</v>
      </c>
      <c r="E38" s="58"/>
      <c r="F38" s="58"/>
    </row>
    <row r="39" spans="1:6" s="178" customFormat="1" ht="46.5">
      <c r="A39" s="61">
        <v>14040000</v>
      </c>
      <c r="B39" s="62" t="s">
        <v>390</v>
      </c>
      <c r="C39" s="64">
        <f t="shared" si="1"/>
        <v>2895400</v>
      </c>
      <c r="D39" s="63">
        <f>SUM(D40:D41)</f>
        <v>2895400</v>
      </c>
      <c r="E39" s="63">
        <f>SUM(E40:E41)</f>
        <v>0</v>
      </c>
      <c r="F39" s="63">
        <f>SUM(F40:F41)</f>
        <v>0</v>
      </c>
    </row>
    <row r="40" spans="1:6" s="178" customFormat="1" ht="108.75">
      <c r="A40" s="26">
        <v>14040100</v>
      </c>
      <c r="B40" s="60" t="s">
        <v>391</v>
      </c>
      <c r="C40" s="176">
        <f>SUM(D40:E40)</f>
        <v>1180700</v>
      </c>
      <c r="D40" s="58">
        <v>1180700</v>
      </c>
      <c r="E40" s="58"/>
      <c r="F40" s="58"/>
    </row>
    <row r="41" spans="1:6" s="178" customFormat="1" ht="71.25" customHeight="1">
      <c r="A41" s="26">
        <v>14040200</v>
      </c>
      <c r="B41" s="60" t="s">
        <v>392</v>
      </c>
      <c r="C41" s="176">
        <f>SUM(D41:E41)</f>
        <v>1714700</v>
      </c>
      <c r="D41" s="58">
        <v>1714700</v>
      </c>
      <c r="E41" s="58"/>
      <c r="F41" s="58"/>
    </row>
    <row r="42" spans="1:6" s="178" customFormat="1" ht="46.5">
      <c r="A42" s="61">
        <v>18000000</v>
      </c>
      <c r="B42" s="62" t="s">
        <v>361</v>
      </c>
      <c r="C42" s="64">
        <f t="shared" si="1"/>
        <v>55973603</v>
      </c>
      <c r="D42" s="63">
        <f>D43+D54+D56</f>
        <v>55973603</v>
      </c>
      <c r="E42" s="63">
        <f>SUM(E43)</f>
        <v>0</v>
      </c>
      <c r="F42" s="63">
        <f>SUM(F43)</f>
        <v>0</v>
      </c>
    </row>
    <row r="43" spans="1:6" s="178" customFormat="1" ht="15">
      <c r="A43" s="61">
        <v>18010000</v>
      </c>
      <c r="B43" s="62" t="s">
        <v>480</v>
      </c>
      <c r="C43" s="64">
        <f t="shared" si="1"/>
        <v>20971307</v>
      </c>
      <c r="D43" s="63">
        <f>SUM(D44:D53)</f>
        <v>20971307</v>
      </c>
      <c r="E43" s="63">
        <f>SUM(E44:E53)</f>
        <v>0</v>
      </c>
      <c r="F43" s="63">
        <f>SUM(F44:F53)</f>
        <v>0</v>
      </c>
    </row>
    <row r="44" spans="1:6" s="178" customFormat="1" ht="46.5">
      <c r="A44" s="26">
        <v>18010100</v>
      </c>
      <c r="B44" s="60" t="s">
        <v>481</v>
      </c>
      <c r="C44" s="176">
        <f t="shared" si="1"/>
        <v>60550</v>
      </c>
      <c r="D44" s="58">
        <v>60550</v>
      </c>
      <c r="E44" s="58"/>
      <c r="F44" s="58"/>
    </row>
    <row r="45" spans="1:6" s="178" customFormat="1" ht="46.5">
      <c r="A45" s="26">
        <v>18010200</v>
      </c>
      <c r="B45" s="60" t="s">
        <v>482</v>
      </c>
      <c r="C45" s="176">
        <f t="shared" si="1"/>
        <v>267750</v>
      </c>
      <c r="D45" s="58">
        <f>131050+136700</f>
        <v>267750</v>
      </c>
      <c r="E45" s="58"/>
      <c r="F45" s="58"/>
    </row>
    <row r="46" spans="1:6" s="178" customFormat="1" ht="46.5">
      <c r="A46" s="26">
        <v>18010300</v>
      </c>
      <c r="B46" s="60" t="s">
        <v>483</v>
      </c>
      <c r="C46" s="176">
        <f t="shared" si="1"/>
        <v>1870150</v>
      </c>
      <c r="D46" s="58">
        <f>1346350+200000+323800</f>
        <v>1870150</v>
      </c>
      <c r="E46" s="58"/>
      <c r="F46" s="58"/>
    </row>
    <row r="47" spans="1:6" s="178" customFormat="1" ht="46.5">
      <c r="A47" s="26">
        <v>18010400</v>
      </c>
      <c r="B47" s="60" t="s">
        <v>484</v>
      </c>
      <c r="C47" s="176">
        <f t="shared" si="1"/>
        <v>1587450</v>
      </c>
      <c r="D47" s="58">
        <f>1457450+130000</f>
        <v>1587450</v>
      </c>
      <c r="E47" s="58"/>
      <c r="F47" s="58"/>
    </row>
    <row r="48" spans="1:6" s="178" customFormat="1" ht="15">
      <c r="A48" s="26">
        <v>18010500</v>
      </c>
      <c r="B48" s="60" t="s">
        <v>485</v>
      </c>
      <c r="C48" s="176">
        <f t="shared" si="1"/>
        <v>1699600</v>
      </c>
      <c r="D48" s="58">
        <f>1496500+203100</f>
        <v>1699600</v>
      </c>
      <c r="E48" s="58"/>
      <c r="F48" s="58"/>
    </row>
    <row r="49" spans="1:6" s="178" customFormat="1" ht="15">
      <c r="A49" s="26">
        <v>18010600</v>
      </c>
      <c r="B49" s="60" t="s">
        <v>486</v>
      </c>
      <c r="C49" s="176">
        <f t="shared" si="1"/>
        <v>7390432</v>
      </c>
      <c r="D49" s="58">
        <f>7052400+338032</f>
        <v>7390432</v>
      </c>
      <c r="E49" s="58"/>
      <c r="F49" s="58"/>
    </row>
    <row r="50" spans="1:6" s="178" customFormat="1" ht="15">
      <c r="A50" s="26">
        <v>18010700</v>
      </c>
      <c r="B50" s="60" t="s">
        <v>487</v>
      </c>
      <c r="C50" s="176">
        <f t="shared" si="1"/>
        <v>2875350</v>
      </c>
      <c r="D50" s="58">
        <f>2316950+330000+228400</f>
        <v>2875350</v>
      </c>
      <c r="E50" s="58"/>
      <c r="F50" s="58"/>
    </row>
    <row r="51" spans="1:6" s="178" customFormat="1" ht="15">
      <c r="A51" s="26">
        <v>18010900</v>
      </c>
      <c r="B51" s="60" t="s">
        <v>488</v>
      </c>
      <c r="C51" s="176">
        <f t="shared" si="1"/>
        <v>5171275</v>
      </c>
      <c r="D51" s="58">
        <f>4714650+351625+105000</f>
        <v>5171275</v>
      </c>
      <c r="E51" s="58"/>
      <c r="F51" s="58"/>
    </row>
    <row r="52" spans="1:6" s="178" customFormat="1" ht="15">
      <c r="A52" s="26">
        <v>18011000</v>
      </c>
      <c r="B52" s="60" t="s">
        <v>413</v>
      </c>
      <c r="C52" s="176">
        <f>SUM(D52:E52)</f>
        <v>2000</v>
      </c>
      <c r="D52" s="58">
        <v>2000</v>
      </c>
      <c r="E52" s="58"/>
      <c r="F52" s="58"/>
    </row>
    <row r="53" spans="1:6" s="178" customFormat="1" ht="15">
      <c r="A53" s="26">
        <v>18011100</v>
      </c>
      <c r="B53" s="60" t="s">
        <v>489</v>
      </c>
      <c r="C53" s="176">
        <f t="shared" si="1"/>
        <v>46750</v>
      </c>
      <c r="D53" s="58">
        <v>46750</v>
      </c>
      <c r="E53" s="58"/>
      <c r="F53" s="58"/>
    </row>
    <row r="54" spans="1:6" s="178" customFormat="1" ht="15">
      <c r="A54" s="61">
        <v>18030000</v>
      </c>
      <c r="B54" s="62" t="s">
        <v>490</v>
      </c>
      <c r="C54" s="64">
        <f t="shared" si="1"/>
        <v>1300</v>
      </c>
      <c r="D54" s="63">
        <f>SUM(D55)</f>
        <v>1300</v>
      </c>
      <c r="E54" s="63">
        <f>SUM(E55)</f>
        <v>0</v>
      </c>
      <c r="F54" s="63">
        <f>SUM(F55)</f>
        <v>0</v>
      </c>
    </row>
    <row r="55" spans="1:6" s="178" customFormat="1" ht="15">
      <c r="A55" s="26">
        <v>18030200</v>
      </c>
      <c r="B55" s="60" t="s">
        <v>491</v>
      </c>
      <c r="C55" s="176">
        <f t="shared" si="1"/>
        <v>1300</v>
      </c>
      <c r="D55" s="58">
        <v>1300</v>
      </c>
      <c r="E55" s="58"/>
      <c r="F55" s="58"/>
    </row>
    <row r="56" spans="1:6" s="178" customFormat="1" ht="15">
      <c r="A56" s="61">
        <v>18050000</v>
      </c>
      <c r="B56" s="62" t="s">
        <v>492</v>
      </c>
      <c r="C56" s="64">
        <f t="shared" si="1"/>
        <v>35000996</v>
      </c>
      <c r="D56" s="63">
        <f>SUM(D57:D59)</f>
        <v>35000996</v>
      </c>
      <c r="E56" s="63">
        <f>SUM(E57:E59)</f>
        <v>0</v>
      </c>
      <c r="F56" s="63">
        <f>SUM(F57:F59)</f>
        <v>0</v>
      </c>
    </row>
    <row r="57" spans="1:6" s="178" customFormat="1" ht="15">
      <c r="A57" s="26">
        <v>18050300</v>
      </c>
      <c r="B57" s="60" t="s">
        <v>493</v>
      </c>
      <c r="C57" s="176">
        <f t="shared" si="1"/>
        <v>2113670</v>
      </c>
      <c r="D57" s="58">
        <f>1765500+348170</f>
        <v>2113670</v>
      </c>
      <c r="E57" s="58"/>
      <c r="F57" s="58"/>
    </row>
    <row r="58" spans="1:6" s="178" customFormat="1" ht="15">
      <c r="A58" s="26">
        <v>18050400</v>
      </c>
      <c r="B58" s="60" t="s">
        <v>494</v>
      </c>
      <c r="C58" s="176">
        <f t="shared" si="1"/>
        <v>17847473</v>
      </c>
      <c r="D58" s="58">
        <f>17120150+727323</f>
        <v>17847473</v>
      </c>
      <c r="E58" s="58"/>
      <c r="F58" s="58"/>
    </row>
    <row r="59" spans="1:6" s="178" customFormat="1" ht="62.25">
      <c r="A59" s="26">
        <v>18050500</v>
      </c>
      <c r="B59" s="60" t="s">
        <v>495</v>
      </c>
      <c r="C59" s="176">
        <f t="shared" si="1"/>
        <v>15039853</v>
      </c>
      <c r="D59" s="58">
        <f>13329150+1710703</f>
        <v>15039853</v>
      </c>
      <c r="E59" s="58"/>
      <c r="F59" s="58"/>
    </row>
    <row r="60" spans="1:6" s="178" customFormat="1" ht="15">
      <c r="A60" s="61">
        <v>19000000</v>
      </c>
      <c r="B60" s="62" t="s">
        <v>496</v>
      </c>
      <c r="C60" s="64">
        <f t="shared" si="1"/>
        <v>132090</v>
      </c>
      <c r="D60" s="63">
        <f>D61</f>
        <v>0</v>
      </c>
      <c r="E60" s="63">
        <f>E61</f>
        <v>132090</v>
      </c>
      <c r="F60" s="63">
        <f>F61</f>
        <v>0</v>
      </c>
    </row>
    <row r="61" spans="1:6" s="178" customFormat="1" ht="15">
      <c r="A61" s="61">
        <v>19010000</v>
      </c>
      <c r="B61" s="62" t="s">
        <v>497</v>
      </c>
      <c r="C61" s="64">
        <f t="shared" si="1"/>
        <v>132090</v>
      </c>
      <c r="D61" s="63">
        <f>SUM(D62:D64)</f>
        <v>0</v>
      </c>
      <c r="E61" s="63">
        <f>SUM(E62:E64)</f>
        <v>132090</v>
      </c>
      <c r="F61" s="63">
        <f>SUM(F62:F64)</f>
        <v>0</v>
      </c>
    </row>
    <row r="62" spans="1:6" s="178" customFormat="1" ht="62.25">
      <c r="A62" s="26">
        <v>19010100</v>
      </c>
      <c r="B62" s="60" t="s">
        <v>498</v>
      </c>
      <c r="C62" s="176">
        <f t="shared" si="1"/>
        <v>39410</v>
      </c>
      <c r="D62" s="58"/>
      <c r="E62" s="58">
        <v>39410</v>
      </c>
      <c r="F62" s="58"/>
    </row>
    <row r="63" spans="1:6" s="178" customFormat="1" ht="30.75">
      <c r="A63" s="26">
        <v>19010200</v>
      </c>
      <c r="B63" s="60" t="s">
        <v>314</v>
      </c>
      <c r="C63" s="176">
        <f t="shared" si="1"/>
        <v>4860</v>
      </c>
      <c r="D63" s="58"/>
      <c r="E63" s="58">
        <v>4860</v>
      </c>
      <c r="F63" s="58"/>
    </row>
    <row r="64" spans="1:6" ht="51" customHeight="1">
      <c r="A64" s="26">
        <v>19010300</v>
      </c>
      <c r="B64" s="60" t="s">
        <v>499</v>
      </c>
      <c r="C64" s="176">
        <f t="shared" si="1"/>
        <v>87820</v>
      </c>
      <c r="D64" s="58"/>
      <c r="E64" s="58">
        <v>87820</v>
      </c>
      <c r="F64" s="58"/>
    </row>
    <row r="65" spans="1:6" ht="15">
      <c r="A65" s="61">
        <v>20000000</v>
      </c>
      <c r="B65" s="62" t="s">
        <v>500</v>
      </c>
      <c r="C65" s="64">
        <f t="shared" si="1"/>
        <v>6663710</v>
      </c>
      <c r="D65" s="63">
        <f>D66+D72+D82+D87</f>
        <v>2127600</v>
      </c>
      <c r="E65" s="63">
        <f>E66+E72+E82+E87</f>
        <v>4536110</v>
      </c>
      <c r="F65" s="63">
        <f>F66+F72+F82+F87</f>
        <v>0</v>
      </c>
    </row>
    <row r="66" spans="1:6" ht="15">
      <c r="A66" s="61">
        <v>21000000</v>
      </c>
      <c r="B66" s="62" t="s">
        <v>501</v>
      </c>
      <c r="C66" s="64">
        <f t="shared" si="1"/>
        <v>115750</v>
      </c>
      <c r="D66" s="63">
        <f>D69+D67</f>
        <v>115750</v>
      </c>
      <c r="E66" s="63">
        <f>E69</f>
        <v>0</v>
      </c>
      <c r="F66" s="63">
        <f>F69</f>
        <v>0</v>
      </c>
    </row>
    <row r="67" spans="1:6" ht="93" hidden="1">
      <c r="A67" s="61">
        <v>21010000</v>
      </c>
      <c r="B67" s="62" t="s">
        <v>335</v>
      </c>
      <c r="C67" s="64">
        <f>SUM(D67:E67)</f>
        <v>0</v>
      </c>
      <c r="D67" s="63">
        <f>SUM(D68)</f>
        <v>0</v>
      </c>
      <c r="E67" s="63">
        <f>SUM(E68:E69)</f>
        <v>0</v>
      </c>
      <c r="F67" s="63">
        <f>SUM(F68:F69)</f>
        <v>0</v>
      </c>
    </row>
    <row r="68" spans="1:6" ht="46.5" hidden="1">
      <c r="A68" s="26">
        <v>21010300</v>
      </c>
      <c r="B68" s="60" t="s">
        <v>336</v>
      </c>
      <c r="C68" s="176">
        <f>SUM(D68:E68)</f>
        <v>0</v>
      </c>
      <c r="D68" s="58"/>
      <c r="E68" s="58"/>
      <c r="F68" s="58"/>
    </row>
    <row r="69" spans="1:6" ht="15">
      <c r="A69" s="61">
        <v>21080000</v>
      </c>
      <c r="B69" s="62" t="s">
        <v>502</v>
      </c>
      <c r="C69" s="64">
        <f t="shared" si="1"/>
        <v>115750</v>
      </c>
      <c r="D69" s="63">
        <f>SUM(D70:D71)</f>
        <v>115750</v>
      </c>
      <c r="E69" s="63">
        <f>SUM(E70:E71)</f>
        <v>0</v>
      </c>
      <c r="F69" s="63">
        <f>SUM(F70:F71)</f>
        <v>0</v>
      </c>
    </row>
    <row r="70" spans="1:6" ht="15">
      <c r="A70" s="26">
        <v>21081100</v>
      </c>
      <c r="B70" s="60" t="s">
        <v>503</v>
      </c>
      <c r="C70" s="176">
        <f t="shared" si="1"/>
        <v>86550</v>
      </c>
      <c r="D70" s="58">
        <v>86550</v>
      </c>
      <c r="E70" s="58"/>
      <c r="F70" s="58"/>
    </row>
    <row r="71" spans="1:6" ht="81.75" customHeight="1">
      <c r="A71" s="26">
        <v>21081500</v>
      </c>
      <c r="B71" s="60" t="s">
        <v>439</v>
      </c>
      <c r="C71" s="176">
        <f t="shared" si="1"/>
        <v>29200</v>
      </c>
      <c r="D71" s="58">
        <f>19200+10000</f>
        <v>29200</v>
      </c>
      <c r="E71" s="58"/>
      <c r="F71" s="58"/>
    </row>
    <row r="72" spans="1:6" ht="30.75">
      <c r="A72" s="61">
        <v>22000000</v>
      </c>
      <c r="B72" s="62" t="s">
        <v>504</v>
      </c>
      <c r="C72" s="64">
        <f aca="true" t="shared" si="2" ref="C72:C98">SUM(D72:E72)</f>
        <v>1767450</v>
      </c>
      <c r="D72" s="63">
        <f>D73+D77+D81</f>
        <v>1767450</v>
      </c>
      <c r="E72" s="63">
        <f>E73+E77+E81</f>
        <v>0</v>
      </c>
      <c r="F72" s="63">
        <f>F73+F77+F81</f>
        <v>0</v>
      </c>
    </row>
    <row r="73" spans="1:6" ht="15">
      <c r="A73" s="61">
        <v>22010000</v>
      </c>
      <c r="B73" s="62" t="s">
        <v>505</v>
      </c>
      <c r="C73" s="64">
        <f t="shared" si="2"/>
        <v>1574250</v>
      </c>
      <c r="D73" s="63">
        <f>SUM(D74:D76)</f>
        <v>1574250</v>
      </c>
      <c r="E73" s="63">
        <f>SUM(E74:E76)</f>
        <v>0</v>
      </c>
      <c r="F73" s="63">
        <f>SUM(F74:F76)</f>
        <v>0</v>
      </c>
    </row>
    <row r="74" spans="1:6" ht="46.5">
      <c r="A74" s="26">
        <v>22010300</v>
      </c>
      <c r="B74" s="60" t="s">
        <v>506</v>
      </c>
      <c r="C74" s="176">
        <f t="shared" si="2"/>
        <v>51950</v>
      </c>
      <c r="D74" s="58">
        <v>51950</v>
      </c>
      <c r="E74" s="58"/>
      <c r="F74" s="58"/>
    </row>
    <row r="75" spans="1:6" ht="15">
      <c r="A75" s="26">
        <v>22012500</v>
      </c>
      <c r="B75" s="60" t="s">
        <v>507</v>
      </c>
      <c r="C75" s="176">
        <f t="shared" si="2"/>
        <v>1110900</v>
      </c>
      <c r="D75" s="58">
        <v>1110900</v>
      </c>
      <c r="E75" s="58"/>
      <c r="F75" s="58"/>
    </row>
    <row r="76" spans="1:6" ht="33" customHeight="1">
      <c r="A76" s="26">
        <v>22012600</v>
      </c>
      <c r="B76" s="60" t="s">
        <v>508</v>
      </c>
      <c r="C76" s="176">
        <f t="shared" si="2"/>
        <v>411400</v>
      </c>
      <c r="D76" s="58">
        <f>275400+136000</f>
        <v>411400</v>
      </c>
      <c r="E76" s="58"/>
      <c r="F76" s="58"/>
    </row>
    <row r="77" spans="1:6" ht="15">
      <c r="A77" s="61">
        <v>22090000</v>
      </c>
      <c r="B77" s="62" t="s">
        <v>509</v>
      </c>
      <c r="C77" s="64">
        <f t="shared" si="2"/>
        <v>179800</v>
      </c>
      <c r="D77" s="63">
        <f>SUM(D78:D80)</f>
        <v>179800</v>
      </c>
      <c r="E77" s="63">
        <f>SUM(E78:E80)</f>
        <v>0</v>
      </c>
      <c r="F77" s="63">
        <f>SUM(F78:F80)</f>
        <v>0</v>
      </c>
    </row>
    <row r="78" spans="1:6" ht="46.5">
      <c r="A78" s="26">
        <v>22090100</v>
      </c>
      <c r="B78" s="60" t="s">
        <v>510</v>
      </c>
      <c r="C78" s="176">
        <f t="shared" si="2"/>
        <v>163650</v>
      </c>
      <c r="D78" s="58">
        <v>163650</v>
      </c>
      <c r="E78" s="58"/>
      <c r="F78" s="58"/>
    </row>
    <row r="79" spans="1:6" ht="15" hidden="1">
      <c r="A79" s="26">
        <v>22090200</v>
      </c>
      <c r="B79" s="60" t="s">
        <v>337</v>
      </c>
      <c r="C79" s="176">
        <f>SUM(D79:E79)</f>
        <v>0</v>
      </c>
      <c r="D79" s="58"/>
      <c r="E79" s="58"/>
      <c r="F79" s="58"/>
    </row>
    <row r="80" spans="1:6" ht="46.5">
      <c r="A80" s="26">
        <v>22090400</v>
      </c>
      <c r="B80" s="60" t="s">
        <v>511</v>
      </c>
      <c r="C80" s="176">
        <f t="shared" si="2"/>
        <v>16150</v>
      </c>
      <c r="D80" s="58">
        <v>16150</v>
      </c>
      <c r="E80" s="58"/>
      <c r="F80" s="58"/>
    </row>
    <row r="81" spans="1:6" s="178" customFormat="1" ht="85.5" customHeight="1">
      <c r="A81" s="61">
        <v>22130000</v>
      </c>
      <c r="B81" s="62" t="s">
        <v>522</v>
      </c>
      <c r="C81" s="64">
        <f t="shared" si="2"/>
        <v>13400</v>
      </c>
      <c r="D81" s="63">
        <v>13400</v>
      </c>
      <c r="E81" s="63"/>
      <c r="F81" s="63"/>
    </row>
    <row r="82" spans="1:6" ht="15">
      <c r="A82" s="61">
        <v>24000000</v>
      </c>
      <c r="B82" s="62" t="s">
        <v>523</v>
      </c>
      <c r="C82" s="64">
        <f t="shared" si="2"/>
        <v>257310</v>
      </c>
      <c r="D82" s="63">
        <f>D83</f>
        <v>244400</v>
      </c>
      <c r="E82" s="63">
        <f>E83</f>
        <v>12910</v>
      </c>
      <c r="F82" s="63">
        <f>F83</f>
        <v>0</v>
      </c>
    </row>
    <row r="83" spans="1:6" ht="15">
      <c r="A83" s="61">
        <v>24060000</v>
      </c>
      <c r="B83" s="62" t="s">
        <v>524</v>
      </c>
      <c r="C83" s="64">
        <f t="shared" si="2"/>
        <v>257310</v>
      </c>
      <c r="D83" s="63">
        <f>SUM(D84:D86)</f>
        <v>244400</v>
      </c>
      <c r="E83" s="63">
        <f>SUM(E84:E86)</f>
        <v>12910</v>
      </c>
      <c r="F83" s="63">
        <f>SUM(F84:F86)</f>
        <v>0</v>
      </c>
    </row>
    <row r="84" spans="1:6" ht="15">
      <c r="A84" s="26">
        <v>24060300</v>
      </c>
      <c r="B84" s="60" t="s">
        <v>524</v>
      </c>
      <c r="C84" s="176">
        <f>SUM(D84:E84)</f>
        <v>244400</v>
      </c>
      <c r="D84" s="58">
        <f>64400+180000</f>
        <v>244400</v>
      </c>
      <c r="E84" s="58"/>
      <c r="F84" s="58"/>
    </row>
    <row r="85" spans="1:6" ht="46.5">
      <c r="A85" s="26">
        <v>24062100</v>
      </c>
      <c r="B85" s="60" t="s">
        <v>315</v>
      </c>
      <c r="C85" s="176">
        <f t="shared" si="2"/>
        <v>12910</v>
      </c>
      <c r="D85" s="58"/>
      <c r="E85" s="58">
        <v>12910</v>
      </c>
      <c r="F85" s="58"/>
    </row>
    <row r="86" spans="1:6" ht="140.25" hidden="1">
      <c r="A86" s="26">
        <v>24062200</v>
      </c>
      <c r="B86" s="60" t="s">
        <v>338</v>
      </c>
      <c r="C86" s="176">
        <f>SUM(D86:E86)</f>
        <v>0</v>
      </c>
      <c r="D86" s="58"/>
      <c r="E86" s="58"/>
      <c r="F86" s="58"/>
    </row>
    <row r="87" spans="1:6" ht="15">
      <c r="A87" s="61">
        <v>25000000</v>
      </c>
      <c r="B87" s="62" t="s">
        <v>527</v>
      </c>
      <c r="C87" s="64">
        <f t="shared" si="2"/>
        <v>4523200</v>
      </c>
      <c r="D87" s="63">
        <f>D88</f>
        <v>0</v>
      </c>
      <c r="E87" s="63">
        <f>E88</f>
        <v>4523200</v>
      </c>
      <c r="F87" s="63">
        <f>F88</f>
        <v>0</v>
      </c>
    </row>
    <row r="88" spans="1:6" ht="30.75">
      <c r="A88" s="61">
        <v>25010000</v>
      </c>
      <c r="B88" s="62" t="s">
        <v>528</v>
      </c>
      <c r="C88" s="64">
        <f t="shared" si="2"/>
        <v>4523200</v>
      </c>
      <c r="D88" s="63">
        <f>SUM(D89:D90)</f>
        <v>0</v>
      </c>
      <c r="E88" s="63">
        <f>SUM(E89:E90)</f>
        <v>4523200</v>
      </c>
      <c r="F88" s="63">
        <f>SUM(F89:F90)</f>
        <v>0</v>
      </c>
    </row>
    <row r="89" spans="1:6" ht="30.75">
      <c r="A89" s="26">
        <v>25010100</v>
      </c>
      <c r="B89" s="60" t="s">
        <v>529</v>
      </c>
      <c r="C89" s="176">
        <f t="shared" si="2"/>
        <v>3903600</v>
      </c>
      <c r="D89" s="58"/>
      <c r="E89" s="58">
        <v>3903600</v>
      </c>
      <c r="F89" s="58"/>
    </row>
    <row r="90" spans="1:6" ht="43.5" customHeight="1">
      <c r="A90" s="26">
        <v>25010300</v>
      </c>
      <c r="B90" s="60" t="s">
        <v>530</v>
      </c>
      <c r="C90" s="176">
        <f t="shared" si="2"/>
        <v>619600</v>
      </c>
      <c r="D90" s="58"/>
      <c r="E90" s="58">
        <v>619600</v>
      </c>
      <c r="F90" s="58"/>
    </row>
    <row r="91" spans="1:6" ht="15">
      <c r="A91" s="61">
        <v>30000000</v>
      </c>
      <c r="B91" s="62" t="s">
        <v>531</v>
      </c>
      <c r="C91" s="64">
        <f t="shared" si="2"/>
        <v>283390</v>
      </c>
      <c r="D91" s="63">
        <f>D92+D96</f>
        <v>0</v>
      </c>
      <c r="E91" s="63">
        <f>E92+E96</f>
        <v>283390</v>
      </c>
      <c r="F91" s="63">
        <f>F92+F96</f>
        <v>283390</v>
      </c>
    </row>
    <row r="92" spans="1:6" ht="15" hidden="1">
      <c r="A92" s="61">
        <v>31000000</v>
      </c>
      <c r="B92" s="62" t="s">
        <v>532</v>
      </c>
      <c r="C92" s="64">
        <f t="shared" si="2"/>
        <v>0</v>
      </c>
      <c r="D92" s="63">
        <f>D93+D95</f>
        <v>0</v>
      </c>
      <c r="E92" s="63">
        <f>E93+E95</f>
        <v>0</v>
      </c>
      <c r="F92" s="63">
        <f>F93+F95</f>
        <v>0</v>
      </c>
    </row>
    <row r="93" spans="1:6" ht="78" hidden="1">
      <c r="A93" s="61">
        <v>31010000</v>
      </c>
      <c r="B93" s="62" t="s">
        <v>533</v>
      </c>
      <c r="C93" s="64">
        <f t="shared" si="2"/>
        <v>0</v>
      </c>
      <c r="D93" s="63">
        <f>D94</f>
        <v>0</v>
      </c>
      <c r="E93" s="63">
        <f>E94</f>
        <v>0</v>
      </c>
      <c r="F93" s="63">
        <f>F94</f>
        <v>0</v>
      </c>
    </row>
    <row r="94" spans="1:6" ht="62.25" hidden="1">
      <c r="A94" s="26">
        <v>31010200</v>
      </c>
      <c r="B94" s="60" t="s">
        <v>534</v>
      </c>
      <c r="C94" s="176">
        <f t="shared" si="2"/>
        <v>0</v>
      </c>
      <c r="D94" s="58"/>
      <c r="E94" s="58"/>
      <c r="F94" s="58"/>
    </row>
    <row r="95" spans="1:6" s="181" customFormat="1" ht="46.5" hidden="1">
      <c r="A95" s="65">
        <v>31030000</v>
      </c>
      <c r="B95" s="179" t="s">
        <v>397</v>
      </c>
      <c r="C95" s="177">
        <f t="shared" si="2"/>
        <v>0</v>
      </c>
      <c r="D95" s="180"/>
      <c r="E95" s="180"/>
      <c r="F95" s="180"/>
    </row>
    <row r="96" spans="1:6" s="178" customFormat="1" ht="15">
      <c r="A96" s="61">
        <v>33000000</v>
      </c>
      <c r="B96" s="62" t="s">
        <v>535</v>
      </c>
      <c r="C96" s="64">
        <f t="shared" si="2"/>
        <v>283390</v>
      </c>
      <c r="D96" s="63">
        <f>D97</f>
        <v>0</v>
      </c>
      <c r="E96" s="63">
        <f>E97</f>
        <v>283390</v>
      </c>
      <c r="F96" s="63">
        <f>F97</f>
        <v>283390</v>
      </c>
    </row>
    <row r="97" spans="1:6" s="178" customFormat="1" ht="15">
      <c r="A97" s="61">
        <v>33010000</v>
      </c>
      <c r="B97" s="62" t="s">
        <v>536</v>
      </c>
      <c r="C97" s="64">
        <f t="shared" si="2"/>
        <v>283390</v>
      </c>
      <c r="D97" s="63">
        <f>SUM(D98:D99)</f>
        <v>0</v>
      </c>
      <c r="E97" s="63">
        <f>SUM(E98:E99)</f>
        <v>283390</v>
      </c>
      <c r="F97" s="63">
        <f>SUM(F98:F99)</f>
        <v>283390</v>
      </c>
    </row>
    <row r="98" spans="1:6" ht="69" customHeight="1">
      <c r="A98" s="26">
        <v>33010100</v>
      </c>
      <c r="B98" s="60" t="s">
        <v>235</v>
      </c>
      <c r="C98" s="176">
        <f t="shared" si="2"/>
        <v>11928</v>
      </c>
      <c r="D98" s="58"/>
      <c r="E98" s="58">
        <f>5374+6554</f>
        <v>11928</v>
      </c>
      <c r="F98" s="58">
        <f>5374+6554</f>
        <v>11928</v>
      </c>
    </row>
    <row r="99" spans="1:6" ht="64.5" customHeight="1">
      <c r="A99" s="26">
        <v>33010500</v>
      </c>
      <c r="B99" s="60" t="s">
        <v>450</v>
      </c>
      <c r="C99" s="176">
        <f>SUM(D99:E99)</f>
        <v>271462</v>
      </c>
      <c r="D99" s="58"/>
      <c r="E99" s="58">
        <v>271462</v>
      </c>
      <c r="F99" s="58">
        <v>271462</v>
      </c>
    </row>
    <row r="100" spans="1:6" ht="15">
      <c r="A100" s="61">
        <v>50000000</v>
      </c>
      <c r="B100" s="62" t="s">
        <v>236</v>
      </c>
      <c r="C100" s="64">
        <f>SUM(D100:E100)</f>
        <v>91250</v>
      </c>
      <c r="D100" s="63">
        <f>D101</f>
        <v>0</v>
      </c>
      <c r="E100" s="63">
        <f>E101</f>
        <v>91250</v>
      </c>
      <c r="F100" s="63">
        <f>F101</f>
        <v>0</v>
      </c>
    </row>
    <row r="101" spans="1:6" ht="46.5">
      <c r="A101" s="26">
        <v>50110000</v>
      </c>
      <c r="B101" s="60" t="s">
        <v>237</v>
      </c>
      <c r="C101" s="176">
        <f>SUM(D101:E101)</f>
        <v>91250</v>
      </c>
      <c r="D101" s="58"/>
      <c r="E101" s="58">
        <f>91250</f>
        <v>91250</v>
      </c>
      <c r="F101" s="58"/>
    </row>
    <row r="102" spans="1:6" ht="22.5" customHeight="1">
      <c r="A102" s="379" t="s">
        <v>537</v>
      </c>
      <c r="B102" s="380"/>
      <c r="C102" s="64">
        <f>C15+C65+C91+C100</f>
        <v>182000597</v>
      </c>
      <c r="D102" s="64">
        <f>D15+D65+D91+D100</f>
        <v>176957757</v>
      </c>
      <c r="E102" s="64">
        <f>E15+E65+E91+E100</f>
        <v>5042840</v>
      </c>
      <c r="F102" s="64">
        <f>F15+F65+F91+F100</f>
        <v>283390</v>
      </c>
    </row>
    <row r="103" spans="1:6" ht="18" customHeight="1">
      <c r="A103" s="61">
        <v>40000000</v>
      </c>
      <c r="B103" s="62" t="s">
        <v>538</v>
      </c>
      <c r="C103" s="64">
        <f aca="true" t="shared" si="3" ref="C103:C110">SUM(D103:E103)</f>
        <v>150947093.87</v>
      </c>
      <c r="D103" s="63">
        <f>D104</f>
        <v>150947093.87</v>
      </c>
      <c r="E103" s="63">
        <f>E104</f>
        <v>0</v>
      </c>
      <c r="F103" s="63">
        <f>F104</f>
        <v>0</v>
      </c>
    </row>
    <row r="104" spans="1:6" ht="18" customHeight="1">
      <c r="A104" s="61">
        <v>41000000</v>
      </c>
      <c r="B104" s="62" t="s">
        <v>539</v>
      </c>
      <c r="C104" s="64">
        <f t="shared" si="3"/>
        <v>150947093.87</v>
      </c>
      <c r="D104" s="63">
        <f>D105+D108+D118+D114</f>
        <v>150947093.87</v>
      </c>
      <c r="E104" s="63">
        <f>E105+E108+E118</f>
        <v>0</v>
      </c>
      <c r="F104" s="63">
        <f>F105+F108+F118</f>
        <v>0</v>
      </c>
    </row>
    <row r="105" spans="1:6" ht="27" customHeight="1">
      <c r="A105" s="61">
        <v>41020000</v>
      </c>
      <c r="B105" s="62" t="s">
        <v>540</v>
      </c>
      <c r="C105" s="64">
        <f t="shared" si="3"/>
        <v>47450500</v>
      </c>
      <c r="D105" s="63">
        <f>SUM(D106:D107)</f>
        <v>47450500</v>
      </c>
      <c r="E105" s="63">
        <f>SUM(E106:E107)</f>
        <v>0</v>
      </c>
      <c r="F105" s="63">
        <f>SUM(F106:F107)</f>
        <v>0</v>
      </c>
    </row>
    <row r="106" spans="1:6" ht="17.25" customHeight="1">
      <c r="A106" s="26">
        <v>41020100</v>
      </c>
      <c r="B106" s="60" t="s">
        <v>541</v>
      </c>
      <c r="C106" s="176">
        <f t="shared" si="3"/>
        <v>37253500</v>
      </c>
      <c r="D106" s="58">
        <v>37253500</v>
      </c>
      <c r="E106" s="58"/>
      <c r="F106" s="58"/>
    </row>
    <row r="107" spans="1:6" ht="93">
      <c r="A107" s="26">
        <v>41021400</v>
      </c>
      <c r="B107" s="60" t="s">
        <v>353</v>
      </c>
      <c r="C107" s="176">
        <f t="shared" si="3"/>
        <v>10197000</v>
      </c>
      <c r="D107" s="58">
        <v>10197000</v>
      </c>
      <c r="E107" s="58"/>
      <c r="F107" s="58"/>
    </row>
    <row r="108" spans="1:6" ht="23.25" customHeight="1">
      <c r="A108" s="61">
        <v>41030000</v>
      </c>
      <c r="B108" s="62" t="s">
        <v>542</v>
      </c>
      <c r="C108" s="64">
        <f>SUM(D108:E108)</f>
        <v>89254700</v>
      </c>
      <c r="D108" s="63">
        <f>SUM(D109:D113)</f>
        <v>89254700</v>
      </c>
      <c r="E108" s="63">
        <f>SUM(E109:E113)</f>
        <v>0</v>
      </c>
      <c r="F108" s="63">
        <f>SUM(F109:F113)</f>
        <v>0</v>
      </c>
    </row>
    <row r="109" spans="1:6" ht="49.5" customHeight="1" hidden="1">
      <c r="A109" s="26">
        <v>41033100</v>
      </c>
      <c r="B109" s="60" t="s">
        <v>555</v>
      </c>
      <c r="C109" s="176">
        <f t="shared" si="3"/>
        <v>0</v>
      </c>
      <c r="D109" s="58"/>
      <c r="E109" s="58"/>
      <c r="F109" s="58"/>
    </row>
    <row r="110" spans="1:6" ht="28.5" customHeight="1">
      <c r="A110" s="26">
        <v>41033900</v>
      </c>
      <c r="B110" s="60" t="s">
        <v>543</v>
      </c>
      <c r="C110" s="176">
        <f t="shared" si="3"/>
        <v>89254700</v>
      </c>
      <c r="D110" s="58">
        <v>89254700</v>
      </c>
      <c r="E110" s="58"/>
      <c r="F110" s="58"/>
    </row>
    <row r="111" spans="1:6" ht="46.5" hidden="1">
      <c r="A111" s="26">
        <v>41034500</v>
      </c>
      <c r="B111" s="182" t="s">
        <v>544</v>
      </c>
      <c r="C111" s="176">
        <f>SUM(D111:E111)</f>
        <v>0</v>
      </c>
      <c r="D111" s="58"/>
      <c r="E111" s="58"/>
      <c r="F111" s="58"/>
    </row>
    <row r="112" spans="1:6" ht="46.5" hidden="1">
      <c r="A112" s="26">
        <v>41035200</v>
      </c>
      <c r="B112" s="60" t="s">
        <v>238</v>
      </c>
      <c r="C112" s="176">
        <f>SUM(D112:E112)</f>
        <v>0</v>
      </c>
      <c r="D112" s="58"/>
      <c r="E112" s="58"/>
      <c r="F112" s="58"/>
    </row>
    <row r="113" spans="1:6" ht="56.25" customHeight="1" hidden="1">
      <c r="A113" s="26">
        <v>41035500</v>
      </c>
      <c r="B113" s="60" t="s">
        <v>298</v>
      </c>
      <c r="C113" s="176">
        <f>SUM(D113:E113)</f>
        <v>0</v>
      </c>
      <c r="D113" s="58"/>
      <c r="E113" s="58"/>
      <c r="F113" s="58"/>
    </row>
    <row r="114" spans="1:6" ht="30" customHeight="1">
      <c r="A114" s="61">
        <v>41040000</v>
      </c>
      <c r="B114" s="62" t="s">
        <v>545</v>
      </c>
      <c r="C114" s="64">
        <f>SUM(C115:C117)</f>
        <v>1963300</v>
      </c>
      <c r="D114" s="64">
        <f>SUM(D115:D117)</f>
        <v>1963300</v>
      </c>
      <c r="E114" s="64">
        <f>SUM(E115:E117)</f>
        <v>0</v>
      </c>
      <c r="F114" s="64">
        <f>SUM(F115:F117)</f>
        <v>0</v>
      </c>
    </row>
    <row r="115" spans="1:6" ht="67.5" customHeight="1">
      <c r="A115" s="26">
        <v>41040200</v>
      </c>
      <c r="B115" s="60" t="s">
        <v>546</v>
      </c>
      <c r="C115" s="176">
        <f>D115</f>
        <v>1963300</v>
      </c>
      <c r="D115" s="58">
        <v>1963300</v>
      </c>
      <c r="E115" s="58"/>
      <c r="F115" s="58"/>
    </row>
    <row r="116" spans="1:6" ht="30.75" customHeight="1" hidden="1">
      <c r="A116" s="26">
        <v>41040400</v>
      </c>
      <c r="B116" s="60" t="s">
        <v>381</v>
      </c>
      <c r="C116" s="176">
        <f>D116</f>
        <v>0</v>
      </c>
      <c r="D116" s="58"/>
      <c r="E116" s="58"/>
      <c r="F116" s="58"/>
    </row>
    <row r="117" spans="1:6" ht="98.25" customHeight="1" hidden="1">
      <c r="A117" s="26">
        <v>41040500</v>
      </c>
      <c r="B117" s="60" t="s">
        <v>364</v>
      </c>
      <c r="C117" s="176">
        <f>SUM(D117:E117)</f>
        <v>0</v>
      </c>
      <c r="D117" s="58"/>
      <c r="E117" s="58"/>
      <c r="F117" s="58"/>
    </row>
    <row r="118" spans="1:6" ht="31.5" customHeight="1">
      <c r="A118" s="61">
        <v>41050000</v>
      </c>
      <c r="B118" s="62" t="s">
        <v>547</v>
      </c>
      <c r="C118" s="64">
        <f aca="true" t="shared" si="4" ref="C118:C129">SUM(D118:E118)</f>
        <v>12278593.87</v>
      </c>
      <c r="D118" s="63">
        <f>SUM(D119:D129)</f>
        <v>12278593.87</v>
      </c>
      <c r="E118" s="63">
        <f>SUM(E119:E129)</f>
        <v>0</v>
      </c>
      <c r="F118" s="63">
        <f>SUM(F119:F129)</f>
        <v>0</v>
      </c>
    </row>
    <row r="119" spans="1:6" ht="320.25" customHeight="1">
      <c r="A119" s="26">
        <v>41050400</v>
      </c>
      <c r="B119" s="60" t="s">
        <v>330</v>
      </c>
      <c r="C119" s="176">
        <f>SUM(D119:E119)</f>
        <v>8664845.76</v>
      </c>
      <c r="D119" s="58">
        <f>8664845.76</f>
        <v>8664845.76</v>
      </c>
      <c r="E119" s="58"/>
      <c r="F119" s="63"/>
    </row>
    <row r="120" spans="1:6" ht="53.25" customHeight="1">
      <c r="A120" s="26">
        <v>41051000</v>
      </c>
      <c r="B120" s="60" t="s">
        <v>548</v>
      </c>
      <c r="C120" s="176">
        <f t="shared" si="4"/>
        <v>2950560</v>
      </c>
      <c r="D120" s="58">
        <f>2950560</f>
        <v>2950560</v>
      </c>
      <c r="E120" s="58"/>
      <c r="F120" s="58"/>
    </row>
    <row r="121" spans="1:6" ht="54.75" customHeight="1">
      <c r="A121" s="26">
        <v>41051200</v>
      </c>
      <c r="B121" s="60" t="s">
        <v>549</v>
      </c>
      <c r="C121" s="176">
        <f t="shared" si="4"/>
        <v>594526</v>
      </c>
      <c r="D121" s="58">
        <f>594526</f>
        <v>594526</v>
      </c>
      <c r="E121" s="58"/>
      <c r="F121" s="58"/>
    </row>
    <row r="122" spans="1:6" ht="65.25" customHeight="1" hidden="1">
      <c r="A122" s="26">
        <v>41051400</v>
      </c>
      <c r="B122" s="60" t="s">
        <v>550</v>
      </c>
      <c r="C122" s="176">
        <f t="shared" si="4"/>
        <v>0</v>
      </c>
      <c r="D122" s="58"/>
      <c r="E122" s="58"/>
      <c r="F122" s="58"/>
    </row>
    <row r="123" spans="1:6" ht="51.75" customHeight="1" hidden="1">
      <c r="A123" s="26">
        <v>41051500</v>
      </c>
      <c r="B123" s="60" t="s">
        <v>551</v>
      </c>
      <c r="C123" s="176">
        <f t="shared" si="4"/>
        <v>0</v>
      </c>
      <c r="D123" s="58"/>
      <c r="E123" s="58"/>
      <c r="F123" s="58"/>
    </row>
    <row r="124" spans="1:6" ht="66" customHeight="1" hidden="1">
      <c r="A124" s="26">
        <v>41051700</v>
      </c>
      <c r="B124" s="60" t="s">
        <v>239</v>
      </c>
      <c r="C124" s="176">
        <f t="shared" si="4"/>
        <v>0</v>
      </c>
      <c r="D124" s="58"/>
      <c r="E124" s="58"/>
      <c r="F124" s="58"/>
    </row>
    <row r="125" spans="1:6" ht="22.5" customHeight="1" hidden="1">
      <c r="A125" s="26">
        <v>41053900</v>
      </c>
      <c r="B125" s="60" t="s">
        <v>552</v>
      </c>
      <c r="C125" s="176">
        <f t="shared" si="4"/>
        <v>0</v>
      </c>
      <c r="D125" s="58">
        <f>874700-874700</f>
        <v>0</v>
      </c>
      <c r="E125" s="58"/>
      <c r="F125" s="58"/>
    </row>
    <row r="126" spans="1:6" ht="49.5" customHeight="1" hidden="1">
      <c r="A126" s="26">
        <v>41054300</v>
      </c>
      <c r="B126" s="60" t="s">
        <v>553</v>
      </c>
      <c r="C126" s="176">
        <f t="shared" si="4"/>
        <v>0</v>
      </c>
      <c r="D126" s="58"/>
      <c r="E126" s="58"/>
      <c r="F126" s="58"/>
    </row>
    <row r="127" spans="1:6" ht="48" customHeight="1" hidden="1">
      <c r="A127" s="26">
        <v>41055000</v>
      </c>
      <c r="B127" s="60" t="s">
        <v>554</v>
      </c>
      <c r="C127" s="176">
        <f t="shared" si="4"/>
        <v>0</v>
      </c>
      <c r="D127" s="58"/>
      <c r="E127" s="58"/>
      <c r="F127" s="58"/>
    </row>
    <row r="128" spans="1:6" ht="78.75" customHeight="1" hidden="1">
      <c r="A128" s="26">
        <v>41055100</v>
      </c>
      <c r="B128" s="60" t="s">
        <v>0</v>
      </c>
      <c r="C128" s="176">
        <f t="shared" si="4"/>
        <v>0</v>
      </c>
      <c r="D128" s="58"/>
      <c r="E128" s="58"/>
      <c r="F128" s="58"/>
    </row>
    <row r="129" spans="1:6" ht="72.75" customHeight="1">
      <c r="A129" s="26">
        <v>41057700</v>
      </c>
      <c r="B129" s="60" t="s">
        <v>46</v>
      </c>
      <c r="C129" s="176">
        <f t="shared" si="4"/>
        <v>68662.11000000002</v>
      </c>
      <c r="D129" s="58">
        <f>88279.71-19617.6</f>
        <v>68662.11000000002</v>
      </c>
      <c r="E129" s="58"/>
      <c r="F129" s="58"/>
    </row>
    <row r="130" spans="1:6" ht="17.25" customHeight="1">
      <c r="A130" s="61" t="s">
        <v>1</v>
      </c>
      <c r="B130" s="183" t="s">
        <v>2</v>
      </c>
      <c r="C130" s="64">
        <f>C102+C103</f>
        <v>332947690.87</v>
      </c>
      <c r="D130" s="64">
        <f>D102+D103</f>
        <v>327904850.87</v>
      </c>
      <c r="E130" s="64">
        <f>E102+E103</f>
        <v>5042840</v>
      </c>
      <c r="F130" s="64">
        <f>F102+F103</f>
        <v>283390</v>
      </c>
    </row>
    <row r="131" spans="4:6" ht="12.75">
      <c r="D131" s="184"/>
      <c r="E131" s="184"/>
      <c r="F131" s="184"/>
    </row>
    <row r="132" spans="1:6" s="185" customFormat="1" ht="38.25" customHeight="1">
      <c r="A132" s="381" t="s">
        <v>401</v>
      </c>
      <c r="B132" s="382"/>
      <c r="C132" s="382"/>
      <c r="D132" s="382"/>
      <c r="E132" s="382"/>
      <c r="F132" s="382"/>
    </row>
    <row r="133" spans="4:6" ht="12.75">
      <c r="D133" s="184"/>
      <c r="E133" s="184"/>
      <c r="F133" s="184"/>
    </row>
    <row r="134" spans="4:6" ht="12.75">
      <c r="D134" s="184"/>
      <c r="E134" s="184"/>
      <c r="F134" s="184"/>
    </row>
    <row r="135" spans="4:6" ht="12.75">
      <c r="D135" s="186"/>
      <c r="E135" s="186"/>
      <c r="F135" s="184"/>
    </row>
    <row r="136" spans="4:6" ht="12.75">
      <c r="D136" s="184"/>
      <c r="E136" s="184"/>
      <c r="F136" s="184"/>
    </row>
    <row r="137" spans="4:6" ht="12.75">
      <c r="D137" s="184"/>
      <c r="E137" s="184"/>
      <c r="F137" s="184"/>
    </row>
    <row r="138" spans="4:6" ht="12.75">
      <c r="D138" s="184"/>
      <c r="E138" s="184"/>
      <c r="F138" s="184"/>
    </row>
    <row r="139" spans="4:6" ht="12.75">
      <c r="D139" s="184"/>
      <c r="E139" s="184"/>
      <c r="F139" s="184"/>
    </row>
    <row r="140" spans="4:6" ht="12.75">
      <c r="D140" s="184"/>
      <c r="E140" s="184"/>
      <c r="F140" s="184"/>
    </row>
    <row r="141" spans="4:6" ht="12.75">
      <c r="D141" s="184"/>
      <c r="E141" s="184"/>
      <c r="F141" s="184"/>
    </row>
    <row r="142" spans="4:6" ht="12.75">
      <c r="D142" s="184"/>
      <c r="E142" s="184"/>
      <c r="F142" s="184"/>
    </row>
    <row r="143" spans="4:6" ht="12.75">
      <c r="D143" s="184"/>
      <c r="E143" s="184"/>
      <c r="F143" s="184"/>
    </row>
    <row r="144" spans="4:6" ht="12.75">
      <c r="D144" s="184"/>
      <c r="E144" s="184"/>
      <c r="F144" s="184"/>
    </row>
    <row r="145" spans="4:6" ht="12.75">
      <c r="D145" s="184"/>
      <c r="E145" s="184"/>
      <c r="F145" s="184"/>
    </row>
    <row r="146" spans="4:6" ht="12.75">
      <c r="D146" s="184"/>
      <c r="E146" s="184"/>
      <c r="F146" s="184"/>
    </row>
    <row r="147" spans="4:6" ht="12.75">
      <c r="D147" s="184"/>
      <c r="E147" s="184"/>
      <c r="F147" s="184"/>
    </row>
    <row r="148" spans="4:6" ht="12.75">
      <c r="D148" s="184"/>
      <c r="E148" s="184"/>
      <c r="F148" s="184"/>
    </row>
    <row r="149" spans="4:6" ht="12.75">
      <c r="D149" s="184"/>
      <c r="E149" s="184"/>
      <c r="F149" s="184"/>
    </row>
    <row r="150" spans="4:6" ht="12.75">
      <c r="D150" s="184"/>
      <c r="E150" s="184"/>
      <c r="F150" s="184"/>
    </row>
    <row r="151" spans="4:6" ht="12.75">
      <c r="D151" s="184"/>
      <c r="E151" s="184"/>
      <c r="F151" s="184"/>
    </row>
    <row r="152" spans="4:6" ht="12.75">
      <c r="D152" s="184"/>
      <c r="E152" s="184"/>
      <c r="F152" s="184"/>
    </row>
    <row r="153" spans="4:6" ht="12.75">
      <c r="D153" s="184"/>
      <c r="E153" s="184"/>
      <c r="F153" s="184"/>
    </row>
    <row r="154" spans="4:6" ht="12.75">
      <c r="D154" s="184"/>
      <c r="E154" s="184"/>
      <c r="F154" s="184"/>
    </row>
    <row r="155" spans="4:6" ht="12.75">
      <c r="D155" s="184"/>
      <c r="E155" s="184"/>
      <c r="F155" s="184"/>
    </row>
    <row r="156" spans="4:6" ht="12.75">
      <c r="D156" s="184"/>
      <c r="E156" s="184"/>
      <c r="F156" s="184"/>
    </row>
    <row r="157" spans="4:6" ht="12.75">
      <c r="D157" s="184"/>
      <c r="E157" s="184"/>
      <c r="F157" s="184"/>
    </row>
    <row r="158" spans="4:6" ht="12.75">
      <c r="D158" s="184"/>
      <c r="E158" s="184"/>
      <c r="F158" s="184"/>
    </row>
    <row r="159" spans="4:6" ht="12.75">
      <c r="D159" s="184"/>
      <c r="E159" s="184"/>
      <c r="F159" s="184"/>
    </row>
    <row r="160" spans="4:6" ht="12.75">
      <c r="D160" s="184"/>
      <c r="E160" s="184"/>
      <c r="F160" s="184"/>
    </row>
    <row r="161" spans="4:6" ht="12.75">
      <c r="D161" s="184"/>
      <c r="E161" s="184"/>
      <c r="F161" s="184"/>
    </row>
    <row r="162" spans="4:6" ht="12.75">
      <c r="D162" s="184"/>
      <c r="E162" s="184"/>
      <c r="F162" s="184"/>
    </row>
    <row r="163" spans="4:6" ht="12.75">
      <c r="D163" s="184"/>
      <c r="E163" s="184"/>
      <c r="F163" s="184"/>
    </row>
    <row r="164" spans="4:6" ht="12.75">
      <c r="D164" s="184"/>
      <c r="E164" s="184"/>
      <c r="F164" s="184"/>
    </row>
    <row r="165" spans="4:6" ht="12.75">
      <c r="D165" s="184"/>
      <c r="E165" s="184"/>
      <c r="F165" s="184"/>
    </row>
    <row r="166" spans="4:6" ht="12.75">
      <c r="D166" s="184"/>
      <c r="E166" s="184"/>
      <c r="F166" s="184"/>
    </row>
    <row r="167" spans="4:6" ht="12.75">
      <c r="D167" s="184"/>
      <c r="E167" s="184"/>
      <c r="F167" s="184"/>
    </row>
    <row r="168" spans="4:6" ht="12.75">
      <c r="D168" s="184"/>
      <c r="E168" s="184"/>
      <c r="F168" s="184"/>
    </row>
    <row r="169" spans="4:6" ht="12.75">
      <c r="D169" s="184"/>
      <c r="E169" s="184"/>
      <c r="F169" s="184"/>
    </row>
    <row r="170" spans="4:6" ht="12.75">
      <c r="D170" s="184"/>
      <c r="E170" s="184"/>
      <c r="F170" s="184"/>
    </row>
    <row r="171" spans="4:6" ht="12.75">
      <c r="D171" s="184"/>
      <c r="E171" s="184"/>
      <c r="F171" s="184"/>
    </row>
    <row r="172" spans="4:6" ht="12.75">
      <c r="D172" s="184"/>
      <c r="E172" s="184"/>
      <c r="F172" s="184"/>
    </row>
    <row r="173" spans="4:6" ht="12.75">
      <c r="D173" s="184"/>
      <c r="E173" s="184"/>
      <c r="F173" s="184"/>
    </row>
    <row r="174" spans="4:6" ht="12.75">
      <c r="D174" s="184"/>
      <c r="E174" s="184"/>
      <c r="F174" s="184"/>
    </row>
    <row r="175" spans="4:6" ht="12.75">
      <c r="D175" s="184"/>
      <c r="E175" s="184"/>
      <c r="F175" s="184"/>
    </row>
    <row r="176" spans="4:6" ht="12.75">
      <c r="D176" s="184"/>
      <c r="E176" s="184"/>
      <c r="F176" s="184"/>
    </row>
    <row r="177" spans="4:6" ht="12.75">
      <c r="D177" s="184"/>
      <c r="E177" s="184"/>
      <c r="F177" s="184"/>
    </row>
    <row r="178" spans="4:6" ht="12.75">
      <c r="D178" s="184"/>
      <c r="E178" s="184"/>
      <c r="F178" s="184"/>
    </row>
    <row r="179" spans="4:6" ht="12.75">
      <c r="D179" s="184"/>
      <c r="E179" s="184"/>
      <c r="F179" s="184"/>
    </row>
    <row r="180" spans="4:6" ht="12.75">
      <c r="D180" s="184"/>
      <c r="E180" s="184"/>
      <c r="F180" s="184"/>
    </row>
    <row r="181" spans="4:6" ht="12.75">
      <c r="D181" s="184"/>
      <c r="E181" s="184"/>
      <c r="F181" s="184"/>
    </row>
    <row r="182" spans="4:6" ht="12.75">
      <c r="D182" s="184"/>
      <c r="E182" s="184"/>
      <c r="F182" s="184"/>
    </row>
    <row r="183" spans="4:6" ht="12.75">
      <c r="D183" s="184"/>
      <c r="E183" s="184"/>
      <c r="F183" s="184"/>
    </row>
    <row r="184" spans="4:6" ht="12.75">
      <c r="D184" s="184"/>
      <c r="E184" s="184"/>
      <c r="F184" s="184"/>
    </row>
    <row r="185" spans="4:6" ht="12.75">
      <c r="D185" s="184"/>
      <c r="E185" s="184"/>
      <c r="F185" s="184"/>
    </row>
    <row r="186" spans="4:6" ht="12.75">
      <c r="D186" s="184"/>
      <c r="E186" s="184"/>
      <c r="F186" s="184"/>
    </row>
    <row r="187" spans="4:6" ht="12.75">
      <c r="D187" s="184"/>
      <c r="E187" s="184"/>
      <c r="F187" s="184"/>
    </row>
    <row r="188" spans="4:6" ht="12.75">
      <c r="D188" s="184"/>
      <c r="E188" s="184"/>
      <c r="F188" s="184"/>
    </row>
    <row r="189" spans="4:6" ht="12.75">
      <c r="D189" s="184"/>
      <c r="E189" s="184"/>
      <c r="F189" s="184"/>
    </row>
    <row r="190" spans="4:6" ht="12.75">
      <c r="D190" s="184"/>
      <c r="E190" s="184"/>
      <c r="F190" s="184"/>
    </row>
    <row r="191" spans="4:6" ht="12.75">
      <c r="D191" s="184"/>
      <c r="E191" s="184"/>
      <c r="F191" s="184"/>
    </row>
    <row r="192" spans="4:6" ht="12.75">
      <c r="D192" s="184"/>
      <c r="E192" s="184"/>
      <c r="F192" s="184"/>
    </row>
    <row r="193" spans="4:6" ht="12.75">
      <c r="D193" s="184"/>
      <c r="E193" s="184"/>
      <c r="F193" s="184"/>
    </row>
    <row r="194" spans="4:6" ht="12.75">
      <c r="D194" s="184"/>
      <c r="E194" s="184"/>
      <c r="F194" s="184"/>
    </row>
    <row r="195" spans="4:6" ht="12.75">
      <c r="D195" s="184"/>
      <c r="E195" s="184"/>
      <c r="F195" s="184"/>
    </row>
    <row r="196" spans="4:6" ht="12.75">
      <c r="D196" s="184"/>
      <c r="E196" s="184"/>
      <c r="F196" s="184"/>
    </row>
    <row r="197" spans="4:6" ht="12.75">
      <c r="D197" s="184"/>
      <c r="E197" s="184"/>
      <c r="F197" s="184"/>
    </row>
    <row r="198" spans="4:6" ht="12.75">
      <c r="D198" s="184"/>
      <c r="E198" s="184"/>
      <c r="F198" s="184"/>
    </row>
    <row r="199" spans="4:6" ht="12.75">
      <c r="D199" s="184"/>
      <c r="E199" s="184"/>
      <c r="F199" s="184"/>
    </row>
    <row r="200" spans="4:6" ht="12.75">
      <c r="D200" s="184"/>
      <c r="E200" s="184"/>
      <c r="F200" s="184"/>
    </row>
  </sheetData>
  <sheetProtection/>
  <mergeCells count="15">
    <mergeCell ref="A132:F132"/>
    <mergeCell ref="A11:A13"/>
    <mergeCell ref="B11:B13"/>
    <mergeCell ref="C11:C13"/>
    <mergeCell ref="D11:D13"/>
    <mergeCell ref="E12:E13"/>
    <mergeCell ref="F12:F13"/>
    <mergeCell ref="A7:F7"/>
    <mergeCell ref="D4:F4"/>
    <mergeCell ref="E11:F11"/>
    <mergeCell ref="A102:B102"/>
    <mergeCell ref="D1:F1"/>
    <mergeCell ref="D2:F2"/>
    <mergeCell ref="D3:F3"/>
    <mergeCell ref="C5:F5"/>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
      <selection activeCell="B18" sqref="B18"/>
    </sheetView>
  </sheetViews>
  <sheetFormatPr defaultColWidth="9.00390625" defaultRowHeight="12.75"/>
  <cols>
    <col min="1" max="1" width="15.375" style="3" customWidth="1"/>
    <col min="2" max="2" width="40.75390625" style="1" customWidth="1"/>
    <col min="3" max="3" width="16.625" style="185" customWidth="1"/>
    <col min="4" max="4" width="17.625" style="1" customWidth="1"/>
    <col min="5" max="5" width="17.75390625" style="1" customWidth="1"/>
    <col min="6" max="6" width="17.25390625" style="1" customWidth="1"/>
    <col min="7" max="7" width="18.75390625" style="1" customWidth="1"/>
    <col min="8" max="8" width="9.125" style="1" bestFit="1" customWidth="1"/>
    <col min="9" max="16384" width="9.125" style="1" customWidth="1"/>
  </cols>
  <sheetData>
    <row r="1" ht="15">
      <c r="B1" s="4"/>
    </row>
    <row r="2" spans="4:6" ht="15">
      <c r="D2" s="383" t="s">
        <v>3</v>
      </c>
      <c r="E2" s="383"/>
      <c r="F2" s="383"/>
    </row>
    <row r="3" spans="4:6" ht="15">
      <c r="D3" s="383" t="str">
        <f>додаток1!D2</f>
        <v>до рішення сімнадцятої сесії Тетіївської міської ради</v>
      </c>
      <c r="E3" s="383"/>
      <c r="F3" s="383"/>
    </row>
    <row r="4" spans="4:6" ht="31.5" customHeight="1">
      <c r="D4" s="384" t="str">
        <f>додаток1!D3</f>
        <v>"Про бюджет Тетіївської міської територіальної громади на 2023 рік" від 20.12.2022 № 772-17-VIII</v>
      </c>
      <c r="E4" s="384"/>
      <c r="F4" s="384"/>
    </row>
    <row r="5" spans="4:8" ht="28.5" customHeight="1">
      <c r="D5" s="385" t="str">
        <f>додаток1!D4</f>
        <v>(в редакції рішення двадцять другої сесії Тетіївської міської ради від 01.08.2023 № 978-22-VIII)</v>
      </c>
      <c r="E5" s="385"/>
      <c r="F5" s="385"/>
      <c r="G5" s="15"/>
      <c r="H5" s="15"/>
    </row>
    <row r="6" spans="3:8" ht="15">
      <c r="C6" s="386"/>
      <c r="D6" s="386"/>
      <c r="E6" s="386"/>
      <c r="F6" s="386"/>
      <c r="G6" s="15"/>
      <c r="H6" s="15"/>
    </row>
    <row r="7" spans="1:6" s="9" customFormat="1" ht="30" customHeight="1">
      <c r="A7" s="387" t="s">
        <v>408</v>
      </c>
      <c r="B7" s="387"/>
      <c r="C7" s="387"/>
      <c r="D7" s="387"/>
      <c r="E7" s="387"/>
      <c r="F7" s="387"/>
    </row>
    <row r="8" spans="1:6" s="9" customFormat="1" ht="15.75" customHeight="1">
      <c r="A8" s="17">
        <f>додаток1!A8</f>
        <v>1050800000</v>
      </c>
      <c r="B8" s="16"/>
      <c r="C8" s="151"/>
      <c r="D8" s="18"/>
      <c r="E8" s="18"/>
      <c r="F8" s="18"/>
    </row>
    <row r="9" spans="1:6" s="9" customFormat="1" ht="15.75" customHeight="1">
      <c r="A9" s="7" t="s">
        <v>455</v>
      </c>
      <c r="B9" s="16"/>
      <c r="C9" s="151"/>
      <c r="D9" s="18"/>
      <c r="E9" s="18"/>
      <c r="F9" s="18"/>
    </row>
    <row r="10" spans="1:6" s="10" customFormat="1" ht="15.75" customHeight="1">
      <c r="A10" s="19"/>
      <c r="C10" s="187"/>
      <c r="F10" s="6" t="s">
        <v>456</v>
      </c>
    </row>
    <row r="11" spans="1:6" s="11" customFormat="1" ht="33.75" customHeight="1">
      <c r="A11" s="389" t="s">
        <v>457</v>
      </c>
      <c r="B11" s="297" t="s">
        <v>4</v>
      </c>
      <c r="C11" s="236" t="s">
        <v>459</v>
      </c>
      <c r="D11" s="210" t="s">
        <v>460</v>
      </c>
      <c r="E11" s="388" t="s">
        <v>461</v>
      </c>
      <c r="F11" s="389"/>
    </row>
    <row r="12" spans="1:6" s="12" customFormat="1" ht="42" customHeight="1">
      <c r="A12" s="389"/>
      <c r="B12" s="298"/>
      <c r="C12" s="237"/>
      <c r="D12" s="211"/>
      <c r="E12" s="55" t="s">
        <v>5</v>
      </c>
      <c r="F12" s="20" t="s">
        <v>6</v>
      </c>
    </row>
    <row r="13" spans="1:6" s="13" customFormat="1" ht="15.75" customHeight="1">
      <c r="A13" s="21">
        <v>1</v>
      </c>
      <c r="B13" s="21">
        <v>2</v>
      </c>
      <c r="C13" s="188">
        <v>3</v>
      </c>
      <c r="D13" s="21">
        <v>4</v>
      </c>
      <c r="E13" s="21">
        <v>5</v>
      </c>
      <c r="F13" s="21">
        <v>6</v>
      </c>
    </row>
    <row r="14" spans="1:6" s="14" customFormat="1" ht="15.75" customHeight="1">
      <c r="A14" s="390" t="s">
        <v>7</v>
      </c>
      <c r="B14" s="391"/>
      <c r="C14" s="391"/>
      <c r="D14" s="391"/>
      <c r="E14" s="391"/>
      <c r="F14" s="392"/>
    </row>
    <row r="15" spans="1:6" s="2" customFormat="1" ht="24" customHeight="1">
      <c r="A15" s="27">
        <v>200000</v>
      </c>
      <c r="B15" s="56" t="s">
        <v>8</v>
      </c>
      <c r="C15" s="63">
        <f>D15+E15</f>
        <v>8646234</v>
      </c>
      <c r="D15" s="23">
        <f>D16+D20+D23</f>
        <v>-9880896.759999998</v>
      </c>
      <c r="E15" s="23">
        <f>E16+E20+E23</f>
        <v>18527130.759999998</v>
      </c>
      <c r="F15" s="23">
        <f>F16+F20+F23</f>
        <v>18118394.759999998</v>
      </c>
    </row>
    <row r="16" spans="1:6" s="2" customFormat="1" ht="24" customHeight="1">
      <c r="A16" s="27">
        <v>203000</v>
      </c>
      <c r="B16" s="56" t="s">
        <v>9</v>
      </c>
      <c r="C16" s="63">
        <f aca="true" t="shared" si="0" ref="C16:C36">D16+E16</f>
        <v>0</v>
      </c>
      <c r="D16" s="23">
        <f>D17</f>
        <v>0</v>
      </c>
      <c r="E16" s="23">
        <f>E17</f>
        <v>0</v>
      </c>
      <c r="F16" s="23">
        <f>F17</f>
        <v>0</v>
      </c>
    </row>
    <row r="17" spans="1:6" s="2" customFormat="1" ht="34.5" customHeight="1">
      <c r="A17" s="27">
        <v>203400</v>
      </c>
      <c r="B17" s="56" t="s">
        <v>10</v>
      </c>
      <c r="C17" s="63">
        <f>C18+C19</f>
        <v>0</v>
      </c>
      <c r="D17" s="23">
        <f>D18+D19</f>
        <v>0</v>
      </c>
      <c r="E17" s="23">
        <f>E18+E19</f>
        <v>0</v>
      </c>
      <c r="F17" s="23">
        <f>F18+F19</f>
        <v>0</v>
      </c>
    </row>
    <row r="18" spans="1:6" s="2" customFormat="1" ht="24" customHeight="1">
      <c r="A18" s="24">
        <v>203410</v>
      </c>
      <c r="B18" s="57" t="s">
        <v>11</v>
      </c>
      <c r="C18" s="63">
        <f t="shared" si="0"/>
        <v>29339155</v>
      </c>
      <c r="D18" s="25">
        <v>29339155</v>
      </c>
      <c r="E18" s="25"/>
      <c r="F18" s="25"/>
    </row>
    <row r="19" spans="1:6" s="2" customFormat="1" ht="24" customHeight="1">
      <c r="A19" s="24">
        <v>203420</v>
      </c>
      <c r="B19" s="57" t="s">
        <v>12</v>
      </c>
      <c r="C19" s="63">
        <f t="shared" si="0"/>
        <v>-29339155</v>
      </c>
      <c r="D19" s="25">
        <v>-29339155</v>
      </c>
      <c r="E19" s="25"/>
      <c r="F19" s="25"/>
    </row>
    <row r="20" spans="1:6" s="2" customFormat="1" ht="51" customHeight="1">
      <c r="A20" s="27">
        <v>205000</v>
      </c>
      <c r="B20" s="56" t="s">
        <v>13</v>
      </c>
      <c r="C20" s="63">
        <f t="shared" si="0"/>
        <v>0</v>
      </c>
      <c r="D20" s="23">
        <f>D21-D22</f>
        <v>0</v>
      </c>
      <c r="E20" s="23">
        <f>E21-E22</f>
        <v>0</v>
      </c>
      <c r="F20" s="23">
        <f>F21-F22</f>
        <v>0</v>
      </c>
    </row>
    <row r="21" spans="1:6" s="10" customFormat="1" ht="24" customHeight="1">
      <c r="A21" s="24">
        <v>205100</v>
      </c>
      <c r="B21" s="57" t="s">
        <v>14</v>
      </c>
      <c r="C21" s="63">
        <f t="shared" si="0"/>
        <v>1416020.29</v>
      </c>
      <c r="D21" s="25"/>
      <c r="E21" s="25">
        <v>1416020.29</v>
      </c>
      <c r="F21" s="25"/>
    </row>
    <row r="22" spans="1:6" s="10" customFormat="1" ht="24" customHeight="1">
      <c r="A22" s="24">
        <v>205200</v>
      </c>
      <c r="B22" s="57" t="s">
        <v>15</v>
      </c>
      <c r="C22" s="63">
        <f t="shared" si="0"/>
        <v>1416020.29</v>
      </c>
      <c r="D22" s="25"/>
      <c r="E22" s="25">
        <v>1416020.29</v>
      </c>
      <c r="F22" s="25"/>
    </row>
    <row r="23" spans="1:6" s="10" customFormat="1" ht="37.5" customHeight="1">
      <c r="A23" s="27">
        <v>208000</v>
      </c>
      <c r="B23" s="56" t="s">
        <v>16</v>
      </c>
      <c r="C23" s="63">
        <f t="shared" si="0"/>
        <v>8646234</v>
      </c>
      <c r="D23" s="23">
        <f>D24-D25+D26</f>
        <v>-9880896.759999998</v>
      </c>
      <c r="E23" s="23">
        <f>E24-E25+E26</f>
        <v>18527130.759999998</v>
      </c>
      <c r="F23" s="23">
        <f>F24-F25+F26</f>
        <v>18118394.759999998</v>
      </c>
    </row>
    <row r="24" spans="1:6" s="10" customFormat="1" ht="24.75" customHeight="1">
      <c r="A24" s="24">
        <v>208100</v>
      </c>
      <c r="B24" s="57" t="s">
        <v>14</v>
      </c>
      <c r="C24" s="63">
        <f t="shared" si="0"/>
        <v>9113756.61</v>
      </c>
      <c r="D24" s="25">
        <v>8449931.1</v>
      </c>
      <c r="E24" s="25">
        <v>663825.51</v>
      </c>
      <c r="F24" s="25">
        <v>16238.45</v>
      </c>
    </row>
    <row r="25" spans="1:6" s="10" customFormat="1" ht="24.75" customHeight="1">
      <c r="A25" s="24">
        <v>208200</v>
      </c>
      <c r="B25" s="57" t="s">
        <v>15</v>
      </c>
      <c r="C25" s="63">
        <f t="shared" si="0"/>
        <v>467522.60999999964</v>
      </c>
      <c r="D25" s="25">
        <f>8449931.1-5144409-1442681-1634170</f>
        <v>228671.09999999963</v>
      </c>
      <c r="E25" s="25">
        <f>663825.51-97440-194250-16238-30121-10000-76925</f>
        <v>238851.51</v>
      </c>
      <c r="F25" s="25">
        <f>16238.45-16238</f>
        <v>0.4500000000007276</v>
      </c>
    </row>
    <row r="26" spans="1:6" s="10" customFormat="1" ht="43.5" customHeight="1">
      <c r="A26" s="24">
        <v>208400</v>
      </c>
      <c r="B26" s="57" t="s">
        <v>17</v>
      </c>
      <c r="C26" s="58">
        <f t="shared" si="0"/>
        <v>0</v>
      </c>
      <c r="D26" s="25">
        <f>-1090436-800000-78800-4457000-56000-2657300-8664845.76-297775</f>
        <v>-18102156.759999998</v>
      </c>
      <c r="E26" s="25">
        <f>1090436+800000+78800+5133000-620000+2657300+8664845.76+297775</f>
        <v>18102156.759999998</v>
      </c>
      <c r="F26" s="25">
        <f>E26</f>
        <v>18102156.759999998</v>
      </c>
    </row>
    <row r="27" spans="1:6" s="2" customFormat="1" ht="28.5" customHeight="1">
      <c r="A27" s="27"/>
      <c r="B27" s="56" t="s">
        <v>21</v>
      </c>
      <c r="C27" s="63">
        <f t="shared" si="0"/>
        <v>8646234</v>
      </c>
      <c r="D27" s="23">
        <f>D15</f>
        <v>-9880896.759999998</v>
      </c>
      <c r="E27" s="23">
        <f>E15</f>
        <v>18527130.759999998</v>
      </c>
      <c r="F27" s="23">
        <f>F15</f>
        <v>18118394.759999998</v>
      </c>
    </row>
    <row r="28" spans="1:6" s="2" customFormat="1" ht="28.5" customHeight="1">
      <c r="A28" s="393" t="s">
        <v>22</v>
      </c>
      <c r="B28" s="329"/>
      <c r="C28" s="329"/>
      <c r="D28" s="329"/>
      <c r="E28" s="329"/>
      <c r="F28" s="330"/>
    </row>
    <row r="29" spans="1:6" s="2" customFormat="1" ht="31.5" customHeight="1">
      <c r="A29" s="27">
        <v>600000</v>
      </c>
      <c r="B29" s="56" t="s">
        <v>23</v>
      </c>
      <c r="C29" s="63">
        <f t="shared" si="0"/>
        <v>8646234</v>
      </c>
      <c r="D29" s="23">
        <f>D20+D23</f>
        <v>-9880896.759999998</v>
      </c>
      <c r="E29" s="23">
        <f>E20+E23</f>
        <v>18527130.759999998</v>
      </c>
      <c r="F29" s="23">
        <f>F20+F23</f>
        <v>18118394.759999998</v>
      </c>
    </row>
    <row r="30" spans="1:7" s="2" customFormat="1" ht="21.75" customHeight="1">
      <c r="A30" s="27">
        <v>602000</v>
      </c>
      <c r="B30" s="56" t="s">
        <v>24</v>
      </c>
      <c r="C30" s="63">
        <f t="shared" si="0"/>
        <v>8646234</v>
      </c>
      <c r="D30" s="23">
        <f>D31-D32+D33</f>
        <v>-9880896.759999998</v>
      </c>
      <c r="E30" s="23">
        <f>E31-E32+E33</f>
        <v>18527130.759999998</v>
      </c>
      <c r="F30" s="23">
        <f>F31-F32+F33</f>
        <v>18118394.759999998</v>
      </c>
      <c r="G30" s="10"/>
    </row>
    <row r="31" spans="1:6" s="2" customFormat="1" ht="24" customHeight="1">
      <c r="A31" s="24">
        <v>602100</v>
      </c>
      <c r="B31" s="57" t="s">
        <v>14</v>
      </c>
      <c r="C31" s="63">
        <f t="shared" si="0"/>
        <v>10529776.9</v>
      </c>
      <c r="D31" s="25">
        <f aca="true" t="shared" si="1" ref="D31:F32">D21+D24</f>
        <v>8449931.1</v>
      </c>
      <c r="E31" s="25">
        <f t="shared" si="1"/>
        <v>2079845.8</v>
      </c>
      <c r="F31" s="25">
        <f t="shared" si="1"/>
        <v>16238.45</v>
      </c>
    </row>
    <row r="32" spans="1:6" s="2" customFormat="1" ht="25.5" customHeight="1">
      <c r="A32" s="24">
        <v>602200</v>
      </c>
      <c r="B32" s="57" t="s">
        <v>15</v>
      </c>
      <c r="C32" s="63">
        <f t="shared" si="0"/>
        <v>1883542.8999999997</v>
      </c>
      <c r="D32" s="25">
        <f t="shared" si="1"/>
        <v>228671.09999999963</v>
      </c>
      <c r="E32" s="25">
        <f t="shared" si="1"/>
        <v>1654871.8</v>
      </c>
      <c r="F32" s="25">
        <f t="shared" si="1"/>
        <v>0.4500000000007276</v>
      </c>
    </row>
    <row r="33" spans="1:6" s="2" customFormat="1" ht="53.25" customHeight="1">
      <c r="A33" s="24">
        <v>602400</v>
      </c>
      <c r="B33" s="57" t="s">
        <v>17</v>
      </c>
      <c r="C33" s="58">
        <f t="shared" si="0"/>
        <v>0</v>
      </c>
      <c r="D33" s="25">
        <f>D26</f>
        <v>-18102156.759999998</v>
      </c>
      <c r="E33" s="25">
        <f>E26</f>
        <v>18102156.759999998</v>
      </c>
      <c r="F33" s="25">
        <f>F26</f>
        <v>18102156.759999998</v>
      </c>
    </row>
    <row r="34" spans="1:6" s="10" customFormat="1" ht="31.5" customHeight="1">
      <c r="A34" s="27">
        <v>603000</v>
      </c>
      <c r="B34" s="56" t="s">
        <v>25</v>
      </c>
      <c r="C34" s="63">
        <f t="shared" si="0"/>
        <v>0</v>
      </c>
      <c r="D34" s="23">
        <v>0</v>
      </c>
      <c r="E34" s="23">
        <v>0</v>
      </c>
      <c r="F34" s="23">
        <v>0</v>
      </c>
    </row>
    <row r="35" spans="1:6" s="10" customFormat="1" ht="31.5" customHeight="1">
      <c r="A35" s="24">
        <v>603000</v>
      </c>
      <c r="B35" s="57" t="s">
        <v>25</v>
      </c>
      <c r="C35" s="63">
        <f t="shared" si="0"/>
        <v>0</v>
      </c>
      <c r="D35" s="25">
        <v>0</v>
      </c>
      <c r="E35" s="25">
        <v>0</v>
      </c>
      <c r="F35" s="25">
        <v>0</v>
      </c>
    </row>
    <row r="36" spans="1:6" s="2" customFormat="1" ht="31.5" customHeight="1">
      <c r="A36" s="22" t="s">
        <v>1</v>
      </c>
      <c r="B36" s="56" t="s">
        <v>21</v>
      </c>
      <c r="C36" s="63">
        <f t="shared" si="0"/>
        <v>8646234</v>
      </c>
      <c r="D36" s="23">
        <f>D15</f>
        <v>-9880896.759999998</v>
      </c>
      <c r="E36" s="23">
        <f>E15</f>
        <v>18527130.759999998</v>
      </c>
      <c r="F36" s="23">
        <f>F15</f>
        <v>18118394.759999998</v>
      </c>
    </row>
    <row r="37" spans="1:6" s="10" customFormat="1" ht="62.25" customHeight="1">
      <c r="A37" s="296" t="str">
        <f>додаток1!A132</f>
        <v>Секретар міської ради                                                                        Наталія  ІВАНЮТА</v>
      </c>
      <c r="B37" s="296"/>
      <c r="C37" s="296"/>
      <c r="D37" s="296"/>
      <c r="E37" s="296"/>
      <c r="F37" s="296"/>
    </row>
    <row r="38" spans="1:3" s="10" customFormat="1" ht="23.25" customHeight="1">
      <c r="A38" s="19"/>
      <c r="C38" s="187"/>
    </row>
    <row r="39" spans="1:5" s="10" customFormat="1" ht="15">
      <c r="A39" s="19"/>
      <c r="C39" s="187"/>
      <c r="D39" s="59"/>
      <c r="E39" s="59"/>
    </row>
    <row r="40" spans="1:3" s="10" customFormat="1" ht="15">
      <c r="A40" s="19"/>
      <c r="C40" s="187"/>
    </row>
    <row r="41" spans="1:3" s="10" customFormat="1" ht="15">
      <c r="A41" s="19"/>
      <c r="C41" s="187"/>
    </row>
    <row r="42" spans="1:3" s="10" customFormat="1" ht="15">
      <c r="A42" s="19"/>
      <c r="C42" s="187"/>
    </row>
    <row r="43" spans="1:3" s="10" customFormat="1" ht="15">
      <c r="A43" s="19"/>
      <c r="C43" s="187"/>
    </row>
    <row r="44" spans="1:3" s="10" customFormat="1" ht="15">
      <c r="A44" s="19"/>
      <c r="C44" s="187"/>
    </row>
    <row r="45" spans="1:3" s="10" customFormat="1" ht="15">
      <c r="A45" s="19"/>
      <c r="C45" s="187"/>
    </row>
    <row r="46" spans="1:3" s="10" customFormat="1" ht="15">
      <c r="A46" s="19"/>
      <c r="C46" s="187"/>
    </row>
    <row r="47" spans="1:3" s="10" customFormat="1" ht="15">
      <c r="A47" s="19"/>
      <c r="C47" s="187"/>
    </row>
    <row r="48" spans="1:3" s="10" customFormat="1" ht="15">
      <c r="A48" s="19"/>
      <c r="C48" s="187"/>
    </row>
    <row r="49" spans="1:3" s="10" customFormat="1" ht="15">
      <c r="A49" s="19"/>
      <c r="C49" s="187"/>
    </row>
    <row r="50" spans="1:3" s="10" customFormat="1" ht="15">
      <c r="A50" s="19"/>
      <c r="C50" s="187"/>
    </row>
    <row r="51" spans="1:3" s="10" customFormat="1" ht="15">
      <c r="A51" s="19"/>
      <c r="C51" s="187"/>
    </row>
    <row r="52" spans="1:3" s="10" customFormat="1" ht="15">
      <c r="A52" s="19"/>
      <c r="C52" s="187"/>
    </row>
    <row r="53" spans="1:3" s="10" customFormat="1" ht="15">
      <c r="A53" s="19"/>
      <c r="C53" s="187"/>
    </row>
    <row r="54" spans="1:3" s="10" customFormat="1" ht="15">
      <c r="A54" s="19"/>
      <c r="C54" s="187"/>
    </row>
    <row r="55" spans="1:3" s="10" customFormat="1" ht="15">
      <c r="A55" s="19"/>
      <c r="C55" s="187"/>
    </row>
    <row r="56" spans="1:3" s="10" customFormat="1" ht="15">
      <c r="A56" s="19"/>
      <c r="C56" s="187"/>
    </row>
    <row r="57" spans="1:3" s="10" customFormat="1" ht="15">
      <c r="A57" s="19"/>
      <c r="C57" s="187"/>
    </row>
    <row r="58" spans="1:3" s="10" customFormat="1" ht="15">
      <c r="A58" s="19"/>
      <c r="C58" s="187"/>
    </row>
    <row r="59" spans="1:3" s="10" customFormat="1" ht="15">
      <c r="A59" s="19"/>
      <c r="C59" s="187"/>
    </row>
    <row r="60" spans="1:3" s="10" customFormat="1" ht="15">
      <c r="A60" s="19"/>
      <c r="C60" s="187"/>
    </row>
    <row r="61" spans="1:3" s="10" customFormat="1" ht="15">
      <c r="A61" s="19"/>
      <c r="C61" s="187"/>
    </row>
    <row r="62" spans="1:3" s="10" customFormat="1" ht="15">
      <c r="A62" s="19"/>
      <c r="C62" s="187"/>
    </row>
    <row r="63" spans="1:3" s="10" customFormat="1" ht="15">
      <c r="A63" s="19"/>
      <c r="C63" s="187"/>
    </row>
    <row r="64" spans="1:3" s="10" customFormat="1" ht="15">
      <c r="A64" s="19"/>
      <c r="C64" s="187"/>
    </row>
    <row r="65" spans="1:3" s="10" customFormat="1" ht="15">
      <c r="A65" s="19"/>
      <c r="C65" s="187"/>
    </row>
    <row r="66" spans="1:3" s="10" customFormat="1" ht="15">
      <c r="A66" s="19"/>
      <c r="C66" s="187"/>
    </row>
    <row r="67" spans="1:3" s="10" customFormat="1" ht="15">
      <c r="A67" s="19"/>
      <c r="C67" s="187"/>
    </row>
    <row r="68" spans="1:3" s="10" customFormat="1" ht="15">
      <c r="A68" s="19"/>
      <c r="C68" s="187"/>
    </row>
    <row r="69" spans="1:3" s="10" customFormat="1" ht="15">
      <c r="A69" s="19"/>
      <c r="C69" s="187"/>
    </row>
  </sheetData>
  <sheetProtection/>
  <mergeCells count="14">
    <mergeCell ref="A28:F28"/>
    <mergeCell ref="A37:F37"/>
    <mergeCell ref="A11:A12"/>
    <mergeCell ref="B11:B12"/>
    <mergeCell ref="C11:C12"/>
    <mergeCell ref="D11:D12"/>
    <mergeCell ref="C6:F6"/>
    <mergeCell ref="A7:F7"/>
    <mergeCell ref="E11:F11"/>
    <mergeCell ref="A14:F14"/>
    <mergeCell ref="D2:F2"/>
    <mergeCell ref="D3:F3"/>
    <mergeCell ref="D4:F4"/>
    <mergeCell ref="D5:F5"/>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23"/>
  <sheetViews>
    <sheetView showZeros="0" zoomScale="70" zoomScaleNormal="70" zoomScalePageLayoutView="0" workbookViewId="0" topLeftCell="A11">
      <pane xSplit="4" ySplit="5" topLeftCell="L29" activePane="bottomRight" state="frozen"/>
      <selection pane="topLeft" activeCell="A11" sqref="A11"/>
      <selection pane="topRight" activeCell="E11" sqref="E11"/>
      <selection pane="bottomLeft" activeCell="A16" sqref="A16"/>
      <selection pane="bottomRight" activeCell="D11" sqref="D11:D14"/>
    </sheetView>
  </sheetViews>
  <sheetFormatPr defaultColWidth="9.00390625" defaultRowHeight="12.75"/>
  <cols>
    <col min="1" max="1" width="12.75390625" style="125" customWidth="1"/>
    <col min="2" max="2" width="12.125" style="126" customWidth="1"/>
    <col min="3" max="3" width="12.625" style="126" customWidth="1"/>
    <col min="4" max="4" width="71.125" style="127" customWidth="1"/>
    <col min="5" max="5" width="19.75390625" style="128" customWidth="1"/>
    <col min="6" max="6" width="19.125" style="128" customWidth="1"/>
    <col min="7" max="7" width="17.875" style="128" customWidth="1"/>
    <col min="8" max="8" width="16.75390625" style="128" customWidth="1"/>
    <col min="9" max="9" width="15.75390625" style="128" customWidth="1"/>
    <col min="10" max="11" width="15.375" style="128" customWidth="1"/>
    <col min="12" max="12" width="14.125" style="128" customWidth="1"/>
    <col min="13" max="13" width="12.00390625" style="128" customWidth="1"/>
    <col min="14" max="14" width="13.125" style="128" customWidth="1"/>
    <col min="15" max="15" width="12.75390625" style="128" customWidth="1"/>
    <col min="16" max="16" width="19.375" style="128" customWidth="1"/>
    <col min="17" max="17" width="9.125" style="121" bestFit="1" customWidth="1"/>
    <col min="18" max="16384" width="9.125" style="121" customWidth="1"/>
  </cols>
  <sheetData>
    <row r="1" spans="12:16" ht="23.25" customHeight="1">
      <c r="L1" s="129"/>
      <c r="M1" s="159" t="s">
        <v>26</v>
      </c>
      <c r="N1" s="159"/>
      <c r="O1" s="159"/>
      <c r="P1" s="159"/>
    </row>
    <row r="2" spans="4:16" ht="21" customHeight="1">
      <c r="D2" s="121"/>
      <c r="L2" s="129"/>
      <c r="M2" s="159" t="str">
        <f>додаток1!D2</f>
        <v>до рішення сімнадцятої сесії Тетіївської міської ради</v>
      </c>
      <c r="N2" s="159"/>
      <c r="O2" s="159"/>
      <c r="P2" s="159"/>
    </row>
    <row r="3" spans="4:16" ht="33.75" customHeight="1">
      <c r="D3" s="189"/>
      <c r="L3" s="190">
        <f>додаток1!C3</f>
        <v>0</v>
      </c>
      <c r="M3" s="160" t="str">
        <f>додаток1!D3</f>
        <v>"Про бюджет Тетіївської міської територіальної громади на 2023 рік" від 20.12.2022 № 772-17-VIII</v>
      </c>
      <c r="N3" s="160"/>
      <c r="O3" s="160"/>
      <c r="P3" s="160"/>
    </row>
    <row r="4" spans="12:16" ht="37.5" customHeight="1">
      <c r="L4" s="191">
        <f>додаток1!C4</f>
        <v>0</v>
      </c>
      <c r="M4" s="161" t="str">
        <f>додаток1!D4</f>
        <v>(в редакції рішення двадцять другої сесії Тетіївської міської ради від 01.08.2023 № 978-22-VIII)</v>
      </c>
      <c r="N4" s="161"/>
      <c r="O4" s="161"/>
      <c r="P4" s="161"/>
    </row>
    <row r="5" spans="12:16" ht="21" customHeight="1">
      <c r="L5" s="159">
        <f>додаток1!C5</f>
        <v>0</v>
      </c>
      <c r="M5" s="159"/>
      <c r="N5" s="159"/>
      <c r="O5" s="159"/>
      <c r="P5" s="159"/>
    </row>
    <row r="6" spans="10:16" ht="18" customHeight="1">
      <c r="J6" s="169"/>
      <c r="K6" s="169"/>
      <c r="L6" s="372"/>
      <c r="M6" s="372"/>
      <c r="N6" s="372"/>
      <c r="O6" s="372"/>
      <c r="P6" s="372"/>
    </row>
    <row r="7" spans="1:16" s="185" customFormat="1" ht="21.75" customHeight="1">
      <c r="A7" s="192"/>
      <c r="B7" s="156" t="s">
        <v>403</v>
      </c>
      <c r="C7" s="156"/>
      <c r="D7" s="157"/>
      <c r="E7" s="157"/>
      <c r="F7" s="157"/>
      <c r="G7" s="157"/>
      <c r="H7" s="157"/>
      <c r="I7" s="157"/>
      <c r="J7" s="157"/>
      <c r="K7" s="157"/>
      <c r="L7" s="157"/>
      <c r="M7" s="157"/>
      <c r="N7" s="157"/>
      <c r="O7" s="157"/>
      <c r="P7" s="157"/>
    </row>
    <row r="8" spans="1:16" s="185" customFormat="1" ht="25.5" customHeight="1">
      <c r="A8" s="158">
        <f>додаток1!A8</f>
        <v>1050800000</v>
      </c>
      <c r="B8" s="158"/>
      <c r="C8" s="193"/>
      <c r="D8" s="194"/>
      <c r="E8" s="194"/>
      <c r="F8" s="194"/>
      <c r="G8" s="194"/>
      <c r="H8" s="194"/>
      <c r="I8" s="194"/>
      <c r="J8" s="194"/>
      <c r="K8" s="194"/>
      <c r="L8" s="194"/>
      <c r="M8" s="194"/>
      <c r="N8" s="194"/>
      <c r="O8" s="194"/>
      <c r="P8" s="194"/>
    </row>
    <row r="9" spans="1:16" s="185" customFormat="1" ht="25.5" customHeight="1">
      <c r="A9" s="154" t="s">
        <v>455</v>
      </c>
      <c r="B9" s="154"/>
      <c r="C9" s="42"/>
      <c r="D9" s="195"/>
      <c r="E9" s="195"/>
      <c r="F9" s="195"/>
      <c r="G9" s="195"/>
      <c r="H9" s="195"/>
      <c r="I9" s="195"/>
      <c r="J9" s="195"/>
      <c r="K9" s="195"/>
      <c r="L9" s="195"/>
      <c r="M9" s="195"/>
      <c r="N9" s="195"/>
      <c r="O9" s="195"/>
      <c r="P9" s="195"/>
    </row>
    <row r="10" ht="37.5" customHeight="1">
      <c r="P10" s="196" t="s">
        <v>456</v>
      </c>
    </row>
    <row r="11" spans="1:16" s="164" customFormat="1" ht="32.25" customHeight="1">
      <c r="A11" s="398" t="s">
        <v>27</v>
      </c>
      <c r="B11" s="401" t="s">
        <v>28</v>
      </c>
      <c r="C11" s="378" t="s">
        <v>29</v>
      </c>
      <c r="D11" s="155" t="s">
        <v>30</v>
      </c>
      <c r="E11" s="394" t="s">
        <v>460</v>
      </c>
      <c r="F11" s="395"/>
      <c r="G11" s="395"/>
      <c r="H11" s="395"/>
      <c r="I11" s="396"/>
      <c r="J11" s="155" t="s">
        <v>31</v>
      </c>
      <c r="K11" s="155"/>
      <c r="L11" s="155"/>
      <c r="M11" s="155"/>
      <c r="N11" s="155"/>
      <c r="O11" s="155"/>
      <c r="P11" s="155" t="s">
        <v>32</v>
      </c>
    </row>
    <row r="12" spans="1:16" s="164" customFormat="1" ht="12.75" customHeight="1">
      <c r="A12" s="399"/>
      <c r="B12" s="401"/>
      <c r="C12" s="378"/>
      <c r="D12" s="155"/>
      <c r="E12" s="155" t="s">
        <v>459</v>
      </c>
      <c r="F12" s="212" t="s">
        <v>33</v>
      </c>
      <c r="G12" s="155" t="s">
        <v>34</v>
      </c>
      <c r="H12" s="155"/>
      <c r="I12" s="212" t="s">
        <v>35</v>
      </c>
      <c r="J12" s="155" t="s">
        <v>459</v>
      </c>
      <c r="K12" s="212" t="s">
        <v>36</v>
      </c>
      <c r="L12" s="212" t="s">
        <v>33</v>
      </c>
      <c r="M12" s="155" t="s">
        <v>34</v>
      </c>
      <c r="N12" s="155"/>
      <c r="O12" s="212" t="s">
        <v>35</v>
      </c>
      <c r="P12" s="155"/>
    </row>
    <row r="13" spans="1:16" s="164" customFormat="1" ht="47.25" customHeight="1">
      <c r="A13" s="399"/>
      <c r="B13" s="401"/>
      <c r="C13" s="378"/>
      <c r="D13" s="155"/>
      <c r="E13" s="155"/>
      <c r="F13" s="213"/>
      <c r="G13" s="155" t="s">
        <v>37</v>
      </c>
      <c r="H13" s="155" t="s">
        <v>38</v>
      </c>
      <c r="I13" s="213"/>
      <c r="J13" s="155"/>
      <c r="K13" s="213"/>
      <c r="L13" s="213"/>
      <c r="M13" s="155" t="s">
        <v>37</v>
      </c>
      <c r="N13" s="155" t="s">
        <v>38</v>
      </c>
      <c r="O13" s="213"/>
      <c r="P13" s="155"/>
    </row>
    <row r="14" spans="1:16" s="164" customFormat="1" ht="67.5" customHeight="1">
      <c r="A14" s="400"/>
      <c r="B14" s="401"/>
      <c r="C14" s="378"/>
      <c r="D14" s="155"/>
      <c r="E14" s="155"/>
      <c r="F14" s="168"/>
      <c r="G14" s="155"/>
      <c r="H14" s="155"/>
      <c r="I14" s="168"/>
      <c r="J14" s="155"/>
      <c r="K14" s="168"/>
      <c r="L14" s="168"/>
      <c r="M14" s="155"/>
      <c r="N14" s="155"/>
      <c r="O14" s="168"/>
      <c r="P14" s="155"/>
    </row>
    <row r="15" spans="1:16" s="185" customFormat="1" ht="15">
      <c r="A15" s="197">
        <v>1</v>
      </c>
      <c r="B15" s="198">
        <v>2</v>
      </c>
      <c r="C15" s="198" t="s">
        <v>39</v>
      </c>
      <c r="D15" s="152">
        <v>4</v>
      </c>
      <c r="E15" s="152">
        <v>5</v>
      </c>
      <c r="F15" s="152">
        <v>6</v>
      </c>
      <c r="G15" s="152">
        <v>7</v>
      </c>
      <c r="H15" s="152">
        <v>8</v>
      </c>
      <c r="I15" s="152">
        <v>9</v>
      </c>
      <c r="J15" s="152">
        <v>10</v>
      </c>
      <c r="K15" s="152">
        <v>11</v>
      </c>
      <c r="L15" s="152">
        <v>12</v>
      </c>
      <c r="M15" s="152">
        <v>13</v>
      </c>
      <c r="N15" s="152">
        <v>14</v>
      </c>
      <c r="O15" s="152">
        <v>15</v>
      </c>
      <c r="P15" s="152">
        <v>16</v>
      </c>
    </row>
    <row r="16" spans="1:16" ht="25.5" customHeight="1">
      <c r="A16" s="199" t="s">
        <v>40</v>
      </c>
      <c r="B16" s="199"/>
      <c r="C16" s="199"/>
      <c r="D16" s="200" t="s">
        <v>41</v>
      </c>
      <c r="E16" s="115">
        <f>E17</f>
        <v>72638622</v>
      </c>
      <c r="F16" s="115">
        <f aca="true" t="shared" si="0" ref="F16:P16">F17</f>
        <v>44035667</v>
      </c>
      <c r="G16" s="115">
        <f t="shared" si="0"/>
        <v>22363422</v>
      </c>
      <c r="H16" s="115">
        <f t="shared" si="0"/>
        <v>1820400</v>
      </c>
      <c r="I16" s="115">
        <f t="shared" si="0"/>
        <v>28602955</v>
      </c>
      <c r="J16" s="115">
        <f t="shared" si="0"/>
        <v>8023404</v>
      </c>
      <c r="K16" s="115">
        <f t="shared" si="0"/>
        <v>6904939</v>
      </c>
      <c r="L16" s="115">
        <f t="shared" si="0"/>
        <v>1018465</v>
      </c>
      <c r="M16" s="115">
        <f t="shared" si="0"/>
        <v>0</v>
      </c>
      <c r="N16" s="115">
        <f t="shared" si="0"/>
        <v>0</v>
      </c>
      <c r="O16" s="115">
        <f t="shared" si="0"/>
        <v>7004939</v>
      </c>
      <c r="P16" s="115">
        <f t="shared" si="0"/>
        <v>80662026</v>
      </c>
    </row>
    <row r="17" spans="1:16" ht="25.5" customHeight="1">
      <c r="A17" s="199" t="s">
        <v>42</v>
      </c>
      <c r="B17" s="199"/>
      <c r="C17" s="199"/>
      <c r="D17" s="200" t="s">
        <v>41</v>
      </c>
      <c r="E17" s="115">
        <f aca="true" t="shared" si="1" ref="E17:P17">E18+E21+E25+E29+E34+E44+E49</f>
        <v>72638622</v>
      </c>
      <c r="F17" s="115">
        <f t="shared" si="1"/>
        <v>44035667</v>
      </c>
      <c r="G17" s="115">
        <f t="shared" si="1"/>
        <v>22363422</v>
      </c>
      <c r="H17" s="115">
        <f t="shared" si="1"/>
        <v>1820400</v>
      </c>
      <c r="I17" s="115">
        <f t="shared" si="1"/>
        <v>28602955</v>
      </c>
      <c r="J17" s="115">
        <f t="shared" si="1"/>
        <v>8023404</v>
      </c>
      <c r="K17" s="115">
        <f t="shared" si="1"/>
        <v>6904939</v>
      </c>
      <c r="L17" s="115">
        <f t="shared" si="1"/>
        <v>1018465</v>
      </c>
      <c r="M17" s="115">
        <f t="shared" si="1"/>
        <v>0</v>
      </c>
      <c r="N17" s="115">
        <f t="shared" si="1"/>
        <v>0</v>
      </c>
      <c r="O17" s="115">
        <f t="shared" si="1"/>
        <v>7004939</v>
      </c>
      <c r="P17" s="115">
        <f t="shared" si="1"/>
        <v>80662026</v>
      </c>
    </row>
    <row r="18" spans="1:16" ht="25.5" customHeight="1">
      <c r="A18" s="199"/>
      <c r="B18" s="199" t="s">
        <v>240</v>
      </c>
      <c r="C18" s="199"/>
      <c r="D18" s="200" t="s">
        <v>241</v>
      </c>
      <c r="E18" s="115">
        <f>SUM(E19:E20)</f>
        <v>30064135</v>
      </c>
      <c r="F18" s="115">
        <f aca="true" t="shared" si="2" ref="F18:P18">SUM(F19:F20)</f>
        <v>30064135</v>
      </c>
      <c r="G18" s="115">
        <f t="shared" si="2"/>
        <v>22363422</v>
      </c>
      <c r="H18" s="115">
        <f t="shared" si="2"/>
        <v>1820400</v>
      </c>
      <c r="I18" s="115">
        <f t="shared" si="2"/>
        <v>0</v>
      </c>
      <c r="J18" s="115">
        <f t="shared" si="2"/>
        <v>503600</v>
      </c>
      <c r="K18" s="115">
        <f t="shared" si="2"/>
        <v>0</v>
      </c>
      <c r="L18" s="115">
        <f t="shared" si="2"/>
        <v>503600</v>
      </c>
      <c r="M18" s="115">
        <f t="shared" si="2"/>
        <v>0</v>
      </c>
      <c r="N18" s="115">
        <f t="shared" si="2"/>
        <v>0</v>
      </c>
      <c r="O18" s="115">
        <f t="shared" si="2"/>
        <v>0</v>
      </c>
      <c r="P18" s="115">
        <f t="shared" si="2"/>
        <v>30567735</v>
      </c>
    </row>
    <row r="19" spans="1:16" s="122" customFormat="1" ht="78.75" customHeight="1">
      <c r="A19" s="5" t="s">
        <v>43</v>
      </c>
      <c r="B19" s="5" t="s">
        <v>44</v>
      </c>
      <c r="C19" s="5" t="s">
        <v>45</v>
      </c>
      <c r="D19" s="116" t="s">
        <v>47</v>
      </c>
      <c r="E19" s="53">
        <f>F19+I19</f>
        <v>29722466</v>
      </c>
      <c r="F19" s="53">
        <f>29379800+342666</f>
        <v>29722466</v>
      </c>
      <c r="G19" s="53">
        <f>22690000-479003</f>
        <v>22210997</v>
      </c>
      <c r="H19" s="53">
        <f>1770400+50000</f>
        <v>1820400</v>
      </c>
      <c r="I19" s="53"/>
      <c r="J19" s="53">
        <f>L19+O19</f>
        <v>500000</v>
      </c>
      <c r="K19" s="53"/>
      <c r="L19" s="53">
        <v>500000</v>
      </c>
      <c r="M19" s="53"/>
      <c r="N19" s="53"/>
      <c r="O19" s="53"/>
      <c r="P19" s="53">
        <f aca="true" t="shared" si="3" ref="P19:P43">J19+E19</f>
        <v>30222466</v>
      </c>
    </row>
    <row r="20" spans="1:16" s="122" customFormat="1" ht="27" customHeight="1">
      <c r="A20" s="5" t="s">
        <v>48</v>
      </c>
      <c r="B20" s="5" t="s">
        <v>49</v>
      </c>
      <c r="C20" s="5" t="s">
        <v>50</v>
      </c>
      <c r="D20" s="54" t="s">
        <v>51</v>
      </c>
      <c r="E20" s="53">
        <f>F20+I20</f>
        <v>341669</v>
      </c>
      <c r="F20" s="53">
        <f>50000+171700+50000+50000+5665+14304</f>
        <v>341669</v>
      </c>
      <c r="G20" s="53">
        <f>140700+11725</f>
        <v>152425</v>
      </c>
      <c r="H20" s="53"/>
      <c r="I20" s="53"/>
      <c r="J20" s="53">
        <f aca="true" t="shared" si="4" ref="J20:J43">L20+O20</f>
        <v>3600</v>
      </c>
      <c r="K20" s="53"/>
      <c r="L20" s="53">
        <f>3600</f>
        <v>3600</v>
      </c>
      <c r="M20" s="53"/>
      <c r="N20" s="53"/>
      <c r="O20" s="53"/>
      <c r="P20" s="53">
        <f t="shared" si="3"/>
        <v>345269</v>
      </c>
    </row>
    <row r="21" spans="1:16" s="123" customFormat="1" ht="27" customHeight="1">
      <c r="A21" s="201"/>
      <c r="B21" s="201" t="s">
        <v>242</v>
      </c>
      <c r="C21" s="201"/>
      <c r="D21" s="117" t="s">
        <v>244</v>
      </c>
      <c r="E21" s="202">
        <f aca="true" t="shared" si="5" ref="E21:P21">SUM(E22:E24)</f>
        <v>11376207</v>
      </c>
      <c r="F21" s="202">
        <f t="shared" si="5"/>
        <v>11376207</v>
      </c>
      <c r="G21" s="202">
        <f t="shared" si="5"/>
        <v>0</v>
      </c>
      <c r="H21" s="202">
        <f t="shared" si="5"/>
        <v>0</v>
      </c>
      <c r="I21" s="202">
        <f t="shared" si="5"/>
        <v>0</v>
      </c>
      <c r="J21" s="202">
        <f t="shared" si="5"/>
        <v>0</v>
      </c>
      <c r="K21" s="202">
        <f t="shared" si="5"/>
        <v>0</v>
      </c>
      <c r="L21" s="202">
        <f t="shared" si="5"/>
        <v>0</v>
      </c>
      <c r="M21" s="202">
        <f t="shared" si="5"/>
        <v>0</v>
      </c>
      <c r="N21" s="202">
        <f t="shared" si="5"/>
        <v>0</v>
      </c>
      <c r="O21" s="202">
        <f t="shared" si="5"/>
        <v>0</v>
      </c>
      <c r="P21" s="202">
        <f t="shared" si="5"/>
        <v>11376207</v>
      </c>
    </row>
    <row r="22" spans="1:16" s="122" customFormat="1" ht="43.5" customHeight="1">
      <c r="A22" s="5" t="s">
        <v>52</v>
      </c>
      <c r="B22" s="5" t="s">
        <v>53</v>
      </c>
      <c r="C22" s="5" t="s">
        <v>54</v>
      </c>
      <c r="D22" s="116" t="s">
        <v>55</v>
      </c>
      <c r="E22" s="53">
        <f>F22+I22</f>
        <v>5860000</v>
      </c>
      <c r="F22" s="53">
        <v>5860000</v>
      </c>
      <c r="G22" s="53"/>
      <c r="H22" s="53"/>
      <c r="I22" s="53"/>
      <c r="J22" s="53">
        <f t="shared" si="4"/>
        <v>0</v>
      </c>
      <c r="K22" s="53">
        <f>763597-763597</f>
        <v>0</v>
      </c>
      <c r="L22" s="53">
        <f>32542.6-32542.6</f>
        <v>0</v>
      </c>
      <c r="M22" s="53"/>
      <c r="N22" s="53"/>
      <c r="O22" s="53">
        <f>763597-763597</f>
        <v>0</v>
      </c>
      <c r="P22" s="53">
        <f t="shared" si="3"/>
        <v>5860000</v>
      </c>
    </row>
    <row r="23" spans="1:16" s="122" customFormat="1" ht="51.75" customHeight="1">
      <c r="A23" s="5" t="s">
        <v>56</v>
      </c>
      <c r="B23" s="5" t="s">
        <v>57</v>
      </c>
      <c r="C23" s="5" t="s">
        <v>58</v>
      </c>
      <c r="D23" s="54" t="s">
        <v>59</v>
      </c>
      <c r="E23" s="53">
        <f>F23+I23</f>
        <v>1488000</v>
      </c>
      <c r="F23" s="53">
        <v>1488000</v>
      </c>
      <c r="G23" s="53"/>
      <c r="H23" s="53"/>
      <c r="I23" s="53"/>
      <c r="J23" s="53">
        <f t="shared" si="4"/>
        <v>0</v>
      </c>
      <c r="K23" s="53"/>
      <c r="L23" s="53">
        <f>544.2-544.2</f>
        <v>0</v>
      </c>
      <c r="M23" s="53"/>
      <c r="N23" s="53"/>
      <c r="O23" s="53"/>
      <c r="P23" s="53">
        <f t="shared" si="3"/>
        <v>1488000</v>
      </c>
    </row>
    <row r="24" spans="1:16" s="122" customFormat="1" ht="35.25" customHeight="1">
      <c r="A24" s="5" t="s">
        <v>245</v>
      </c>
      <c r="B24" s="5" t="s">
        <v>247</v>
      </c>
      <c r="C24" s="5" t="s">
        <v>60</v>
      </c>
      <c r="D24" s="54" t="s">
        <v>246</v>
      </c>
      <c r="E24" s="53">
        <f>F24+I24</f>
        <v>4028207</v>
      </c>
      <c r="F24" s="53">
        <f>246000+1182100+25438+344500+50000+132000+1295000+115078+131000+320000+187091</f>
        <v>4028207</v>
      </c>
      <c r="G24" s="53"/>
      <c r="H24" s="53"/>
      <c r="I24" s="53"/>
      <c r="J24" s="53">
        <f>L24+O24</f>
        <v>0</v>
      </c>
      <c r="K24" s="53"/>
      <c r="L24" s="53"/>
      <c r="M24" s="53"/>
      <c r="N24" s="53"/>
      <c r="O24" s="53"/>
      <c r="P24" s="53">
        <f>J24+E24</f>
        <v>4028207</v>
      </c>
    </row>
    <row r="25" spans="1:16" s="123" customFormat="1" ht="35.25" customHeight="1">
      <c r="A25" s="201"/>
      <c r="B25" s="201" t="s">
        <v>248</v>
      </c>
      <c r="C25" s="201"/>
      <c r="D25" s="117" t="s">
        <v>249</v>
      </c>
      <c r="E25" s="202">
        <f aca="true" t="shared" si="6" ref="E25:P25">SUM(E26:E28)</f>
        <v>298075</v>
      </c>
      <c r="F25" s="202">
        <f t="shared" si="6"/>
        <v>298075</v>
      </c>
      <c r="G25" s="202">
        <f t="shared" si="6"/>
        <v>0</v>
      </c>
      <c r="H25" s="202">
        <f t="shared" si="6"/>
        <v>0</v>
      </c>
      <c r="I25" s="202">
        <f t="shared" si="6"/>
        <v>0</v>
      </c>
      <c r="J25" s="202">
        <f t="shared" si="6"/>
        <v>0</v>
      </c>
      <c r="K25" s="202">
        <f t="shared" si="6"/>
        <v>0</v>
      </c>
      <c r="L25" s="202">
        <f t="shared" si="6"/>
        <v>0</v>
      </c>
      <c r="M25" s="202">
        <f t="shared" si="6"/>
        <v>0</v>
      </c>
      <c r="N25" s="202">
        <f t="shared" si="6"/>
        <v>0</v>
      </c>
      <c r="O25" s="202">
        <f t="shared" si="6"/>
        <v>0</v>
      </c>
      <c r="P25" s="202">
        <f t="shared" si="6"/>
        <v>298075</v>
      </c>
    </row>
    <row r="26" spans="1:16" s="122" customFormat="1" ht="42.75" customHeight="1">
      <c r="A26" s="5" t="s">
        <v>373</v>
      </c>
      <c r="B26" s="5" t="s">
        <v>374</v>
      </c>
      <c r="C26" s="5" t="s">
        <v>63</v>
      </c>
      <c r="D26" s="116" t="s">
        <v>376</v>
      </c>
      <c r="E26" s="53">
        <f>F26+I26</f>
        <v>98075</v>
      </c>
      <c r="F26" s="53">
        <f>50000+48075</f>
        <v>98075</v>
      </c>
      <c r="G26" s="53"/>
      <c r="H26" s="53"/>
      <c r="I26" s="53"/>
      <c r="J26" s="53">
        <f>L26+O26</f>
        <v>0</v>
      </c>
      <c r="K26" s="53"/>
      <c r="L26" s="53"/>
      <c r="M26" s="53"/>
      <c r="N26" s="53"/>
      <c r="O26" s="53"/>
      <c r="P26" s="53">
        <f>J26+E26</f>
        <v>98075</v>
      </c>
    </row>
    <row r="27" spans="1:16" s="122" customFormat="1" ht="79.5" customHeight="1">
      <c r="A27" s="5" t="s">
        <v>252</v>
      </c>
      <c r="B27" s="5" t="s">
        <v>253</v>
      </c>
      <c r="C27" s="5" t="s">
        <v>63</v>
      </c>
      <c r="D27" s="54" t="s">
        <v>254</v>
      </c>
      <c r="E27" s="53">
        <f>F27+I27</f>
        <v>200000</v>
      </c>
      <c r="F27" s="53">
        <f>200000</f>
        <v>200000</v>
      </c>
      <c r="G27" s="53"/>
      <c r="H27" s="53"/>
      <c r="I27" s="53"/>
      <c r="J27" s="53">
        <f>L27+O27</f>
        <v>0</v>
      </c>
      <c r="K27" s="53"/>
      <c r="L27" s="53"/>
      <c r="M27" s="53"/>
      <c r="N27" s="53"/>
      <c r="O27" s="53"/>
      <c r="P27" s="53">
        <f>J27+E27</f>
        <v>200000</v>
      </c>
    </row>
    <row r="28" spans="1:16" s="122" customFormat="1" ht="42.75" customHeight="1" hidden="1">
      <c r="A28" s="5" t="s">
        <v>66</v>
      </c>
      <c r="B28" s="5" t="s">
        <v>67</v>
      </c>
      <c r="C28" s="5" t="s">
        <v>65</v>
      </c>
      <c r="D28" s="54" t="s">
        <v>68</v>
      </c>
      <c r="E28" s="53">
        <f>F28+I28</f>
        <v>0</v>
      </c>
      <c r="F28" s="53"/>
      <c r="G28" s="53"/>
      <c r="H28" s="53"/>
      <c r="I28" s="53"/>
      <c r="J28" s="53">
        <f t="shared" si="4"/>
        <v>0</v>
      </c>
      <c r="K28" s="53"/>
      <c r="L28" s="53"/>
      <c r="M28" s="53"/>
      <c r="N28" s="53"/>
      <c r="O28" s="53"/>
      <c r="P28" s="53">
        <f t="shared" si="3"/>
        <v>0</v>
      </c>
    </row>
    <row r="29" spans="1:16" s="123" customFormat="1" ht="42.75" customHeight="1">
      <c r="A29" s="201"/>
      <c r="B29" s="201" t="s">
        <v>257</v>
      </c>
      <c r="C29" s="201"/>
      <c r="D29" s="117" t="s">
        <v>258</v>
      </c>
      <c r="E29" s="202">
        <f>SUM(E30:E33)</f>
        <v>22511655</v>
      </c>
      <c r="F29" s="202">
        <f aca="true" t="shared" si="7" ref="F29:P29">SUM(F30:F33)</f>
        <v>0</v>
      </c>
      <c r="G29" s="202">
        <f t="shared" si="7"/>
        <v>0</v>
      </c>
      <c r="H29" s="202">
        <f t="shared" si="7"/>
        <v>0</v>
      </c>
      <c r="I29" s="202">
        <f t="shared" si="7"/>
        <v>22511655</v>
      </c>
      <c r="J29" s="202">
        <f t="shared" si="7"/>
        <v>4797085</v>
      </c>
      <c r="K29" s="202">
        <f t="shared" si="7"/>
        <v>4797085</v>
      </c>
      <c r="L29" s="202">
        <f t="shared" si="7"/>
        <v>0</v>
      </c>
      <c r="M29" s="202">
        <f t="shared" si="7"/>
        <v>0</v>
      </c>
      <c r="N29" s="202">
        <f t="shared" si="7"/>
        <v>0</v>
      </c>
      <c r="O29" s="202">
        <f t="shared" si="7"/>
        <v>4797085</v>
      </c>
      <c r="P29" s="202">
        <f t="shared" si="7"/>
        <v>27308740</v>
      </c>
    </row>
    <row r="30" spans="1:16" s="122" customFormat="1" ht="33" customHeight="1">
      <c r="A30" s="5" t="s">
        <v>69</v>
      </c>
      <c r="B30" s="5" t="s">
        <v>70</v>
      </c>
      <c r="C30" s="5" t="s">
        <v>71</v>
      </c>
      <c r="D30" s="116" t="s">
        <v>72</v>
      </c>
      <c r="E30" s="53">
        <f>F30+I30</f>
        <v>3538865</v>
      </c>
      <c r="F30" s="53"/>
      <c r="G30" s="53"/>
      <c r="H30" s="53"/>
      <c r="I30" s="53">
        <f>3000000+267300+32140+35000+96000+108425</f>
        <v>3538865</v>
      </c>
      <c r="J30" s="53">
        <f t="shared" si="4"/>
        <v>369875</v>
      </c>
      <c r="K30" s="53">
        <f>48800+207300+113775</f>
        <v>369875</v>
      </c>
      <c r="L30" s="53"/>
      <c r="M30" s="53"/>
      <c r="N30" s="53"/>
      <c r="O30" s="53">
        <f>48800+207300+113775</f>
        <v>369875</v>
      </c>
      <c r="P30" s="53">
        <f t="shared" si="3"/>
        <v>3908740</v>
      </c>
    </row>
    <row r="31" spans="1:16" s="122" customFormat="1" ht="40.5" customHeight="1" hidden="1">
      <c r="A31" s="5" t="s">
        <v>322</v>
      </c>
      <c r="B31" s="5" t="s">
        <v>323</v>
      </c>
      <c r="C31" s="5" t="s">
        <v>71</v>
      </c>
      <c r="D31" s="116" t="s">
        <v>324</v>
      </c>
      <c r="E31" s="53">
        <f>F31+I31</f>
        <v>0</v>
      </c>
      <c r="F31" s="53"/>
      <c r="G31" s="53"/>
      <c r="H31" s="53"/>
      <c r="I31" s="53"/>
      <c r="J31" s="53">
        <f>L31+O31</f>
        <v>0</v>
      </c>
      <c r="K31" s="53"/>
      <c r="L31" s="53"/>
      <c r="M31" s="53"/>
      <c r="N31" s="53"/>
      <c r="O31" s="53"/>
      <c r="P31" s="53">
        <f>J31+E31</f>
        <v>0</v>
      </c>
    </row>
    <row r="32" spans="1:16" s="122" customFormat="1" ht="24.75" customHeight="1">
      <c r="A32" s="5" t="s">
        <v>73</v>
      </c>
      <c r="B32" s="5" t="s">
        <v>74</v>
      </c>
      <c r="C32" s="5" t="s">
        <v>71</v>
      </c>
      <c r="D32" s="116" t="s">
        <v>75</v>
      </c>
      <c r="E32" s="53">
        <f>F32+I32</f>
        <v>18972790</v>
      </c>
      <c r="F32" s="53"/>
      <c r="G32" s="53"/>
      <c r="H32" s="53"/>
      <c r="I32" s="53">
        <f>10070000+6200000+230000+636730+75000+680700+525000+517360+38000</f>
        <v>18972790</v>
      </c>
      <c r="J32" s="53">
        <f t="shared" si="4"/>
        <v>4027210</v>
      </c>
      <c r="K32" s="53">
        <f>675464+45210+274536+3032000</f>
        <v>4027210</v>
      </c>
      <c r="L32" s="53"/>
      <c r="M32" s="53"/>
      <c r="N32" s="53"/>
      <c r="O32" s="53">
        <f>675464+45210+274536+3032000</f>
        <v>4027210</v>
      </c>
      <c r="P32" s="53">
        <f t="shared" si="3"/>
        <v>23000000</v>
      </c>
    </row>
    <row r="33" spans="1:16" s="122" customFormat="1" ht="48" customHeight="1">
      <c r="A33" s="5" t="s">
        <v>76</v>
      </c>
      <c r="B33" s="5" t="s">
        <v>77</v>
      </c>
      <c r="C33" s="5" t="s">
        <v>78</v>
      </c>
      <c r="D33" s="116" t="s">
        <v>79</v>
      </c>
      <c r="E33" s="53">
        <f>F33+I33</f>
        <v>0</v>
      </c>
      <c r="F33" s="53"/>
      <c r="G33" s="53"/>
      <c r="H33" s="53"/>
      <c r="I33" s="53"/>
      <c r="J33" s="53">
        <f t="shared" si="4"/>
        <v>400000</v>
      </c>
      <c r="K33" s="53">
        <f>400000</f>
        <v>400000</v>
      </c>
      <c r="L33" s="53"/>
      <c r="M33" s="53"/>
      <c r="N33" s="53"/>
      <c r="O33" s="53">
        <f>400000</f>
        <v>400000</v>
      </c>
      <c r="P33" s="53">
        <f t="shared" si="3"/>
        <v>400000</v>
      </c>
    </row>
    <row r="34" spans="1:16" s="123" customFormat="1" ht="33.75" customHeight="1">
      <c r="A34" s="201"/>
      <c r="B34" s="201" t="s">
        <v>259</v>
      </c>
      <c r="C34" s="201"/>
      <c r="D34" s="203" t="s">
        <v>260</v>
      </c>
      <c r="E34" s="202">
        <f>SUM(E35:E43)</f>
        <v>7363550</v>
      </c>
      <c r="F34" s="202">
        <f aca="true" t="shared" si="8" ref="F34:P34">SUM(F35:F43)</f>
        <v>1272250</v>
      </c>
      <c r="G34" s="202">
        <f t="shared" si="8"/>
        <v>0</v>
      </c>
      <c r="H34" s="202">
        <f t="shared" si="8"/>
        <v>0</v>
      </c>
      <c r="I34" s="202">
        <f t="shared" si="8"/>
        <v>6091300</v>
      </c>
      <c r="J34" s="202">
        <f t="shared" si="8"/>
        <v>2268719</v>
      </c>
      <c r="K34" s="202">
        <f t="shared" si="8"/>
        <v>1808854</v>
      </c>
      <c r="L34" s="202">
        <f t="shared" si="8"/>
        <v>459865</v>
      </c>
      <c r="M34" s="202">
        <f t="shared" si="8"/>
        <v>0</v>
      </c>
      <c r="N34" s="202">
        <f t="shared" si="8"/>
        <v>0</v>
      </c>
      <c r="O34" s="202">
        <f t="shared" si="8"/>
        <v>1808854</v>
      </c>
      <c r="P34" s="202">
        <f t="shared" si="8"/>
        <v>9632269</v>
      </c>
    </row>
    <row r="35" spans="1:16" s="122" customFormat="1" ht="26.25" customHeight="1">
      <c r="A35" s="5" t="s">
        <v>80</v>
      </c>
      <c r="B35" s="5" t="s">
        <v>81</v>
      </c>
      <c r="C35" s="5" t="s">
        <v>82</v>
      </c>
      <c r="D35" s="116" t="s">
        <v>83</v>
      </c>
      <c r="E35" s="53">
        <f>F35+I35</f>
        <v>1212250</v>
      </c>
      <c r="F35" s="53">
        <f>1200000+14400-200000+197850</f>
        <v>1212250</v>
      </c>
      <c r="G35" s="53"/>
      <c r="H35" s="53"/>
      <c r="I35" s="53"/>
      <c r="J35" s="53">
        <f t="shared" si="4"/>
        <v>800000</v>
      </c>
      <c r="K35" s="53">
        <f>800000</f>
        <v>800000</v>
      </c>
      <c r="L35" s="53">
        <f>1350-1350</f>
        <v>0</v>
      </c>
      <c r="M35" s="53"/>
      <c r="N35" s="53"/>
      <c r="O35" s="53">
        <f>800000</f>
        <v>800000</v>
      </c>
      <c r="P35" s="53">
        <f t="shared" si="3"/>
        <v>2012250</v>
      </c>
    </row>
    <row r="36" spans="1:16" s="122" customFormat="1" ht="26.25" customHeight="1" hidden="1">
      <c r="A36" s="5" t="s">
        <v>559</v>
      </c>
      <c r="B36" s="5" t="s">
        <v>560</v>
      </c>
      <c r="C36" s="5" t="s">
        <v>226</v>
      </c>
      <c r="D36" s="116" t="s">
        <v>561</v>
      </c>
      <c r="E36" s="53"/>
      <c r="F36" s="53"/>
      <c r="G36" s="53"/>
      <c r="H36" s="53"/>
      <c r="I36" s="53"/>
      <c r="J36" s="53">
        <f t="shared" si="4"/>
        <v>0</v>
      </c>
      <c r="K36" s="53"/>
      <c r="L36" s="53"/>
      <c r="M36" s="53"/>
      <c r="N36" s="53"/>
      <c r="O36" s="53"/>
      <c r="P36" s="53">
        <f t="shared" si="3"/>
        <v>0</v>
      </c>
    </row>
    <row r="37" spans="1:16" s="122" customFormat="1" ht="30" customHeight="1" hidden="1">
      <c r="A37" s="5" t="s">
        <v>556</v>
      </c>
      <c r="B37" s="5" t="s">
        <v>557</v>
      </c>
      <c r="C37" s="5" t="s">
        <v>93</v>
      </c>
      <c r="D37" s="116" t="s">
        <v>558</v>
      </c>
      <c r="E37" s="53"/>
      <c r="F37" s="53"/>
      <c r="G37" s="53"/>
      <c r="H37" s="53"/>
      <c r="I37" s="53"/>
      <c r="J37" s="53">
        <f>L37+O37</f>
        <v>0</v>
      </c>
      <c r="K37" s="53"/>
      <c r="L37" s="53"/>
      <c r="M37" s="53"/>
      <c r="N37" s="53"/>
      <c r="O37" s="53"/>
      <c r="P37" s="53">
        <f>J37+E37</f>
        <v>0</v>
      </c>
    </row>
    <row r="38" spans="1:16" s="122" customFormat="1" ht="35.25" customHeight="1">
      <c r="A38" s="5" t="s">
        <v>84</v>
      </c>
      <c r="B38" s="5" t="s">
        <v>85</v>
      </c>
      <c r="C38" s="5" t="s">
        <v>86</v>
      </c>
      <c r="D38" s="54" t="s">
        <v>87</v>
      </c>
      <c r="E38" s="53">
        <f aca="true" t="shared" si="9" ref="E38:E43">F38+I38</f>
        <v>6091300</v>
      </c>
      <c r="F38" s="53"/>
      <c r="G38" s="53"/>
      <c r="H38" s="53"/>
      <c r="I38" s="53">
        <f>1000000+91300+4010900+1989100-1000000</f>
        <v>6091300</v>
      </c>
      <c r="J38" s="53">
        <f t="shared" si="4"/>
        <v>1000000</v>
      </c>
      <c r="K38" s="53">
        <v>1000000</v>
      </c>
      <c r="L38" s="53"/>
      <c r="M38" s="53"/>
      <c r="N38" s="53"/>
      <c r="O38" s="53">
        <v>1000000</v>
      </c>
      <c r="P38" s="53">
        <f t="shared" si="3"/>
        <v>7091300</v>
      </c>
    </row>
    <row r="39" spans="1:16" s="122" customFormat="1" ht="27" customHeight="1" hidden="1">
      <c r="A39" s="5" t="s">
        <v>88</v>
      </c>
      <c r="B39" s="5" t="s">
        <v>89</v>
      </c>
      <c r="C39" s="5" t="s">
        <v>86</v>
      </c>
      <c r="D39" s="54" t="s">
        <v>90</v>
      </c>
      <c r="E39" s="53">
        <f t="shared" si="9"/>
        <v>0</v>
      </c>
      <c r="F39" s="53"/>
      <c r="G39" s="53"/>
      <c r="H39" s="53"/>
      <c r="I39" s="53"/>
      <c r="J39" s="53">
        <f t="shared" si="4"/>
        <v>0</v>
      </c>
      <c r="K39" s="53"/>
      <c r="L39" s="53"/>
      <c r="M39" s="53"/>
      <c r="N39" s="53"/>
      <c r="O39" s="53"/>
      <c r="P39" s="53">
        <f t="shared" si="3"/>
        <v>0</v>
      </c>
    </row>
    <row r="40" spans="1:16" s="122" customFormat="1" ht="42.75" customHeight="1">
      <c r="A40" s="5" t="s">
        <v>269</v>
      </c>
      <c r="B40" s="5" t="s">
        <v>270</v>
      </c>
      <c r="C40" s="5" t="s">
        <v>93</v>
      </c>
      <c r="D40" s="54" t="s">
        <v>271</v>
      </c>
      <c r="E40" s="53">
        <f t="shared" si="9"/>
        <v>0</v>
      </c>
      <c r="F40" s="53"/>
      <c r="G40" s="53"/>
      <c r="H40" s="53"/>
      <c r="I40" s="53"/>
      <c r="J40" s="53">
        <f>L40+O40</f>
        <v>8854</v>
      </c>
      <c r="K40" s="53">
        <f>2300+6554</f>
        <v>8854</v>
      </c>
      <c r="L40" s="53"/>
      <c r="M40" s="53"/>
      <c r="N40" s="53"/>
      <c r="O40" s="53">
        <f>2300+6554</f>
        <v>8854</v>
      </c>
      <c r="P40" s="53">
        <f>J40+E40</f>
        <v>8854</v>
      </c>
    </row>
    <row r="41" spans="1:16" s="122" customFormat="1" ht="41.25" customHeight="1">
      <c r="A41" s="5" t="s">
        <v>91</v>
      </c>
      <c r="B41" s="5" t="s">
        <v>92</v>
      </c>
      <c r="C41" s="5" t="s">
        <v>93</v>
      </c>
      <c r="D41" s="116" t="s">
        <v>94</v>
      </c>
      <c r="E41" s="53">
        <f t="shared" si="9"/>
        <v>60000</v>
      </c>
      <c r="F41" s="53">
        <v>60000</v>
      </c>
      <c r="G41" s="53"/>
      <c r="H41" s="53"/>
      <c r="I41" s="53"/>
      <c r="J41" s="53">
        <f t="shared" si="4"/>
        <v>0</v>
      </c>
      <c r="K41" s="53"/>
      <c r="L41" s="53"/>
      <c r="M41" s="53"/>
      <c r="N41" s="53"/>
      <c r="O41" s="53"/>
      <c r="P41" s="53">
        <f t="shared" si="3"/>
        <v>60000</v>
      </c>
    </row>
    <row r="42" spans="1:16" s="122" customFormat="1" ht="120" customHeight="1">
      <c r="A42" s="5" t="s">
        <v>303</v>
      </c>
      <c r="B42" s="5" t="s">
        <v>304</v>
      </c>
      <c r="C42" s="5" t="s">
        <v>93</v>
      </c>
      <c r="D42" s="116" t="s">
        <v>305</v>
      </c>
      <c r="E42" s="53">
        <f t="shared" si="9"/>
        <v>0</v>
      </c>
      <c r="F42" s="53"/>
      <c r="G42" s="53"/>
      <c r="H42" s="53"/>
      <c r="I42" s="53"/>
      <c r="J42" s="53">
        <f t="shared" si="4"/>
        <v>459865</v>
      </c>
      <c r="K42" s="53"/>
      <c r="L42" s="53">
        <f>97440+194250+76925+91250</f>
        <v>459865</v>
      </c>
      <c r="M42" s="53"/>
      <c r="N42" s="53"/>
      <c r="O42" s="53"/>
      <c r="P42" s="53">
        <f t="shared" si="3"/>
        <v>459865</v>
      </c>
    </row>
    <row r="43" spans="1:16" s="122" customFormat="1" ht="27" customHeight="1" hidden="1">
      <c r="A43" s="5" t="s">
        <v>95</v>
      </c>
      <c r="B43" s="5" t="s">
        <v>96</v>
      </c>
      <c r="C43" s="5" t="s">
        <v>93</v>
      </c>
      <c r="D43" s="54" t="s">
        <v>97</v>
      </c>
      <c r="E43" s="53">
        <f t="shared" si="9"/>
        <v>0</v>
      </c>
      <c r="F43" s="53"/>
      <c r="G43" s="53"/>
      <c r="H43" s="53"/>
      <c r="I43" s="53"/>
      <c r="J43" s="53">
        <f t="shared" si="4"/>
        <v>0</v>
      </c>
      <c r="K43" s="53"/>
      <c r="L43" s="53"/>
      <c r="M43" s="53"/>
      <c r="N43" s="53"/>
      <c r="O43" s="53"/>
      <c r="P43" s="53">
        <f t="shared" si="3"/>
        <v>0</v>
      </c>
    </row>
    <row r="44" spans="1:16" s="123" customFormat="1" ht="27" customHeight="1">
      <c r="A44" s="201"/>
      <c r="B44" s="201" t="s">
        <v>272</v>
      </c>
      <c r="C44" s="201"/>
      <c r="D44" s="117" t="s">
        <v>273</v>
      </c>
      <c r="E44" s="202">
        <f>SUM(E45:E48)</f>
        <v>855000</v>
      </c>
      <c r="F44" s="202">
        <f aca="true" t="shared" si="10" ref="F44:P44">SUM(F45:F48)</f>
        <v>855000</v>
      </c>
      <c r="G44" s="202">
        <f t="shared" si="10"/>
        <v>0</v>
      </c>
      <c r="H44" s="202">
        <f t="shared" si="10"/>
        <v>0</v>
      </c>
      <c r="I44" s="202">
        <f t="shared" si="10"/>
        <v>0</v>
      </c>
      <c r="J44" s="202">
        <f t="shared" si="10"/>
        <v>354000</v>
      </c>
      <c r="K44" s="202">
        <f t="shared" si="10"/>
        <v>199000</v>
      </c>
      <c r="L44" s="202">
        <f t="shared" si="10"/>
        <v>55000</v>
      </c>
      <c r="M44" s="202">
        <f t="shared" si="10"/>
        <v>0</v>
      </c>
      <c r="N44" s="202">
        <f t="shared" si="10"/>
        <v>0</v>
      </c>
      <c r="O44" s="202">
        <f t="shared" si="10"/>
        <v>299000</v>
      </c>
      <c r="P44" s="202">
        <f t="shared" si="10"/>
        <v>1209000</v>
      </c>
    </row>
    <row r="45" spans="1:16" s="123" customFormat="1" ht="34.5" customHeight="1">
      <c r="A45" s="5" t="s">
        <v>396</v>
      </c>
      <c r="B45" s="5" t="s">
        <v>394</v>
      </c>
      <c r="C45" s="5" t="s">
        <v>274</v>
      </c>
      <c r="D45" s="54" t="s">
        <v>395</v>
      </c>
      <c r="E45" s="53">
        <f>F45+I45</f>
        <v>250000</v>
      </c>
      <c r="F45" s="53">
        <f>200000+50000</f>
        <v>250000</v>
      </c>
      <c r="G45" s="53"/>
      <c r="H45" s="53"/>
      <c r="I45" s="53"/>
      <c r="J45" s="53">
        <f>L45+O45</f>
        <v>0</v>
      </c>
      <c r="K45" s="53"/>
      <c r="L45" s="53"/>
      <c r="M45" s="53"/>
      <c r="N45" s="53"/>
      <c r="O45" s="53"/>
      <c r="P45" s="53">
        <f>J45+E45</f>
        <v>250000</v>
      </c>
    </row>
    <row r="46" spans="1:16" s="123" customFormat="1" ht="34.5" customHeight="1">
      <c r="A46" s="5" t="s">
        <v>444</v>
      </c>
      <c r="B46" s="5" t="s">
        <v>445</v>
      </c>
      <c r="C46" s="5" t="s">
        <v>98</v>
      </c>
      <c r="D46" s="54" t="s">
        <v>446</v>
      </c>
      <c r="E46" s="53">
        <f>F46+I46</f>
        <v>50000</v>
      </c>
      <c r="F46" s="53">
        <v>50000</v>
      </c>
      <c r="G46" s="53"/>
      <c r="H46" s="53"/>
      <c r="I46" s="53"/>
      <c r="J46" s="53">
        <f>L46+O46</f>
        <v>199000</v>
      </c>
      <c r="K46" s="53">
        <v>199000</v>
      </c>
      <c r="L46" s="53"/>
      <c r="M46" s="53"/>
      <c r="N46" s="53"/>
      <c r="O46" s="53">
        <v>199000</v>
      </c>
      <c r="P46" s="53">
        <f>J46+E46</f>
        <v>249000</v>
      </c>
    </row>
    <row r="47" spans="1:16" s="122" customFormat="1" ht="27" customHeight="1">
      <c r="A47" s="5" t="s">
        <v>378</v>
      </c>
      <c r="B47" s="5" t="s">
        <v>379</v>
      </c>
      <c r="C47" s="5" t="s">
        <v>98</v>
      </c>
      <c r="D47" s="54" t="s">
        <v>380</v>
      </c>
      <c r="E47" s="53">
        <f>F47+I47</f>
        <v>555000</v>
      </c>
      <c r="F47" s="53">
        <f>500000+55000</f>
        <v>555000</v>
      </c>
      <c r="G47" s="53"/>
      <c r="H47" s="53"/>
      <c r="I47" s="53"/>
      <c r="J47" s="53">
        <f>L47+O47</f>
        <v>0</v>
      </c>
      <c r="K47" s="53"/>
      <c r="L47" s="53"/>
      <c r="M47" s="53"/>
      <c r="N47" s="53"/>
      <c r="O47" s="53"/>
      <c r="P47" s="53">
        <f>J47+E47</f>
        <v>555000</v>
      </c>
    </row>
    <row r="48" spans="1:16" s="122" customFormat="1" ht="27" customHeight="1">
      <c r="A48" s="5" t="s">
        <v>99</v>
      </c>
      <c r="B48" s="5" t="s">
        <v>100</v>
      </c>
      <c r="C48" s="5" t="s">
        <v>101</v>
      </c>
      <c r="D48" s="118" t="s">
        <v>102</v>
      </c>
      <c r="E48" s="53">
        <f>F48+I48</f>
        <v>0</v>
      </c>
      <c r="F48" s="53"/>
      <c r="G48" s="53"/>
      <c r="H48" s="53"/>
      <c r="I48" s="53"/>
      <c r="J48" s="53">
        <f>L48+O48</f>
        <v>155000</v>
      </c>
      <c r="K48" s="53"/>
      <c r="L48" s="53">
        <f>45000+10000</f>
        <v>55000</v>
      </c>
      <c r="M48" s="53"/>
      <c r="N48" s="53"/>
      <c r="O48" s="53">
        <v>100000</v>
      </c>
      <c r="P48" s="53">
        <f>J48+E48</f>
        <v>155000</v>
      </c>
    </row>
    <row r="49" spans="1:16" s="123" customFormat="1" ht="27" customHeight="1">
      <c r="A49" s="201"/>
      <c r="B49" s="201" t="s">
        <v>293</v>
      </c>
      <c r="C49" s="201"/>
      <c r="D49" s="117" t="s">
        <v>294</v>
      </c>
      <c r="E49" s="202">
        <f>SUM(E50)</f>
        <v>170000</v>
      </c>
      <c r="F49" s="202">
        <f aca="true" t="shared" si="11" ref="F49:P49">SUM(F50)</f>
        <v>170000</v>
      </c>
      <c r="G49" s="202">
        <f t="shared" si="11"/>
        <v>0</v>
      </c>
      <c r="H49" s="202">
        <f t="shared" si="11"/>
        <v>0</v>
      </c>
      <c r="I49" s="202">
        <f t="shared" si="11"/>
        <v>0</v>
      </c>
      <c r="J49" s="202">
        <f t="shared" si="11"/>
        <v>100000</v>
      </c>
      <c r="K49" s="202">
        <f t="shared" si="11"/>
        <v>100000</v>
      </c>
      <c r="L49" s="202">
        <f t="shared" si="11"/>
        <v>0</v>
      </c>
      <c r="M49" s="202">
        <f t="shared" si="11"/>
        <v>0</v>
      </c>
      <c r="N49" s="202">
        <f t="shared" si="11"/>
        <v>0</v>
      </c>
      <c r="O49" s="202">
        <f t="shared" si="11"/>
        <v>100000</v>
      </c>
      <c r="P49" s="202">
        <f t="shared" si="11"/>
        <v>270000</v>
      </c>
    </row>
    <row r="50" spans="1:16" s="123" customFormat="1" ht="57.75" customHeight="1">
      <c r="A50" s="5" t="s">
        <v>316</v>
      </c>
      <c r="B50" s="5" t="s">
        <v>317</v>
      </c>
      <c r="C50" s="5" t="s">
        <v>49</v>
      </c>
      <c r="D50" s="54" t="s">
        <v>318</v>
      </c>
      <c r="E50" s="53">
        <f>F50+I50</f>
        <v>170000</v>
      </c>
      <c r="F50" s="53">
        <f>120000+50000</f>
        <v>170000</v>
      </c>
      <c r="G50" s="53"/>
      <c r="H50" s="53"/>
      <c r="I50" s="53"/>
      <c r="J50" s="53">
        <f>L50+O50</f>
        <v>100000</v>
      </c>
      <c r="K50" s="53">
        <f>100000</f>
        <v>100000</v>
      </c>
      <c r="L50" s="53"/>
      <c r="M50" s="53"/>
      <c r="N50" s="53"/>
      <c r="O50" s="53">
        <v>100000</v>
      </c>
      <c r="P50" s="53">
        <f>J50+E50</f>
        <v>270000</v>
      </c>
    </row>
    <row r="51" spans="1:16" s="124" customFormat="1" ht="39" customHeight="1">
      <c r="A51" s="199" t="s">
        <v>103</v>
      </c>
      <c r="B51" s="199"/>
      <c r="C51" s="199"/>
      <c r="D51" s="200" t="s">
        <v>275</v>
      </c>
      <c r="E51" s="115">
        <f>E52</f>
        <v>198049958</v>
      </c>
      <c r="F51" s="115">
        <f aca="true" t="shared" si="12" ref="F51:P51">F52</f>
        <v>198049958</v>
      </c>
      <c r="G51" s="115">
        <f t="shared" si="12"/>
        <v>139268254</v>
      </c>
      <c r="H51" s="115">
        <f t="shared" si="12"/>
        <v>22072895</v>
      </c>
      <c r="I51" s="115">
        <f t="shared" si="12"/>
        <v>0</v>
      </c>
      <c r="J51" s="115">
        <f t="shared" si="12"/>
        <v>6440200</v>
      </c>
      <c r="K51" s="115">
        <f t="shared" si="12"/>
        <v>2629000</v>
      </c>
      <c r="L51" s="115">
        <f t="shared" si="12"/>
        <v>3811200</v>
      </c>
      <c r="M51" s="115">
        <f t="shared" si="12"/>
        <v>0</v>
      </c>
      <c r="N51" s="115">
        <f t="shared" si="12"/>
        <v>0</v>
      </c>
      <c r="O51" s="115">
        <f t="shared" si="12"/>
        <v>2629000</v>
      </c>
      <c r="P51" s="115">
        <f t="shared" si="12"/>
        <v>204490158</v>
      </c>
    </row>
    <row r="52" spans="1:16" s="124" customFormat="1" ht="40.5" customHeight="1">
      <c r="A52" s="199" t="s">
        <v>104</v>
      </c>
      <c r="B52" s="199"/>
      <c r="C52" s="199"/>
      <c r="D52" s="200" t="str">
        <f>D51</f>
        <v>Відділ освіти Тетіївської міської ради</v>
      </c>
      <c r="E52" s="115">
        <f>E53+E55+E70</f>
        <v>198049958</v>
      </c>
      <c r="F52" s="115">
        <f aca="true" t="shared" si="13" ref="F52:P52">F53+F55+F70</f>
        <v>198049958</v>
      </c>
      <c r="G52" s="115">
        <f t="shared" si="13"/>
        <v>139268254</v>
      </c>
      <c r="H52" s="115">
        <f t="shared" si="13"/>
        <v>22072895</v>
      </c>
      <c r="I52" s="115">
        <f t="shared" si="13"/>
        <v>0</v>
      </c>
      <c r="J52" s="115">
        <f t="shared" si="13"/>
        <v>6440200</v>
      </c>
      <c r="K52" s="115">
        <f t="shared" si="13"/>
        <v>2629000</v>
      </c>
      <c r="L52" s="115">
        <f t="shared" si="13"/>
        <v>3811200</v>
      </c>
      <c r="M52" s="115">
        <f t="shared" si="13"/>
        <v>0</v>
      </c>
      <c r="N52" s="115">
        <f t="shared" si="13"/>
        <v>0</v>
      </c>
      <c r="O52" s="115">
        <f t="shared" si="13"/>
        <v>2629000</v>
      </c>
      <c r="P52" s="115">
        <f t="shared" si="13"/>
        <v>204490158</v>
      </c>
    </row>
    <row r="53" spans="1:16" s="124" customFormat="1" ht="32.25" customHeight="1">
      <c r="A53" s="199"/>
      <c r="B53" s="199" t="s">
        <v>240</v>
      </c>
      <c r="C53" s="199"/>
      <c r="D53" s="200" t="s">
        <v>241</v>
      </c>
      <c r="E53" s="115">
        <f>E54</f>
        <v>1174240</v>
      </c>
      <c r="F53" s="115">
        <f aca="true" t="shared" si="14" ref="F53:P53">F54</f>
        <v>1174240</v>
      </c>
      <c r="G53" s="115">
        <f t="shared" si="14"/>
        <v>956300</v>
      </c>
      <c r="H53" s="115">
        <f t="shared" si="14"/>
        <v>0</v>
      </c>
      <c r="I53" s="115">
        <f t="shared" si="14"/>
        <v>0</v>
      </c>
      <c r="J53" s="115">
        <f t="shared" si="14"/>
        <v>0</v>
      </c>
      <c r="K53" s="115">
        <f t="shared" si="14"/>
        <v>0</v>
      </c>
      <c r="L53" s="115">
        <f t="shared" si="14"/>
        <v>0</v>
      </c>
      <c r="M53" s="115">
        <f t="shared" si="14"/>
        <v>0</v>
      </c>
      <c r="N53" s="115">
        <f t="shared" si="14"/>
        <v>0</v>
      </c>
      <c r="O53" s="115">
        <f t="shared" si="14"/>
        <v>0</v>
      </c>
      <c r="P53" s="115">
        <f t="shared" si="14"/>
        <v>1174240</v>
      </c>
    </row>
    <row r="54" spans="1:16" s="124" customFormat="1" ht="47.25" customHeight="1">
      <c r="A54" s="5" t="s">
        <v>105</v>
      </c>
      <c r="B54" s="5" t="s">
        <v>106</v>
      </c>
      <c r="C54" s="5" t="s">
        <v>45</v>
      </c>
      <c r="D54" s="54" t="s">
        <v>372</v>
      </c>
      <c r="E54" s="53">
        <f>F54+I54</f>
        <v>1174240</v>
      </c>
      <c r="F54" s="53">
        <f>1137900+1040+35300</f>
        <v>1174240</v>
      </c>
      <c r="G54" s="53">
        <f>932700+23600</f>
        <v>956300</v>
      </c>
      <c r="H54" s="115"/>
      <c r="I54" s="115"/>
      <c r="J54" s="53">
        <f>L54+O54</f>
        <v>0</v>
      </c>
      <c r="K54" s="115"/>
      <c r="L54" s="115"/>
      <c r="M54" s="115"/>
      <c r="N54" s="115"/>
      <c r="O54" s="115"/>
      <c r="P54" s="53">
        <f>J54+E54</f>
        <v>1174240</v>
      </c>
    </row>
    <row r="55" spans="1:16" s="123" customFormat="1" ht="40.5" customHeight="1">
      <c r="A55" s="201"/>
      <c r="B55" s="201" t="s">
        <v>276</v>
      </c>
      <c r="C55" s="201"/>
      <c r="D55" s="117" t="s">
        <v>277</v>
      </c>
      <c r="E55" s="202">
        <f>SUM(E56:E69)</f>
        <v>196875718</v>
      </c>
      <c r="F55" s="202">
        <f aca="true" t="shared" si="15" ref="F55:P55">SUM(F56:F69)</f>
        <v>196875718</v>
      </c>
      <c r="G55" s="202">
        <f t="shared" si="15"/>
        <v>138311954</v>
      </c>
      <c r="H55" s="202">
        <f t="shared" si="15"/>
        <v>22072895</v>
      </c>
      <c r="I55" s="202">
        <f t="shared" si="15"/>
        <v>0</v>
      </c>
      <c r="J55" s="202">
        <f t="shared" si="15"/>
        <v>6440200</v>
      </c>
      <c r="K55" s="202">
        <f t="shared" si="15"/>
        <v>2629000</v>
      </c>
      <c r="L55" s="202">
        <f t="shared" si="15"/>
        <v>3811200</v>
      </c>
      <c r="M55" s="202">
        <f t="shared" si="15"/>
        <v>0</v>
      </c>
      <c r="N55" s="202">
        <f t="shared" si="15"/>
        <v>0</v>
      </c>
      <c r="O55" s="202">
        <f t="shared" si="15"/>
        <v>2629000</v>
      </c>
      <c r="P55" s="202">
        <f t="shared" si="15"/>
        <v>203315918</v>
      </c>
    </row>
    <row r="56" spans="1:16" s="122" customFormat="1" ht="27" customHeight="1">
      <c r="A56" s="5" t="s">
        <v>107</v>
      </c>
      <c r="B56" s="5" t="s">
        <v>108</v>
      </c>
      <c r="C56" s="5" t="s">
        <v>109</v>
      </c>
      <c r="D56" s="119" t="s">
        <v>110</v>
      </c>
      <c r="E56" s="53">
        <f>F56+I56</f>
        <v>34305619</v>
      </c>
      <c r="F56" s="53">
        <f>32480700+358920+61565+1209300+195134</f>
        <v>34305619</v>
      </c>
      <c r="G56" s="53">
        <f>22189000+696200</f>
        <v>22885200</v>
      </c>
      <c r="H56" s="53">
        <f>4745000+228485</f>
        <v>4973485</v>
      </c>
      <c r="I56" s="53"/>
      <c r="J56" s="53">
        <f>L56+O56</f>
        <v>3511000</v>
      </c>
      <c r="K56" s="53">
        <f>900000+1200000+184000</f>
        <v>2284000</v>
      </c>
      <c r="L56" s="53">
        <v>1227000</v>
      </c>
      <c r="M56" s="53"/>
      <c r="N56" s="53"/>
      <c r="O56" s="53">
        <f>900000+1200000+184000</f>
        <v>2284000</v>
      </c>
      <c r="P56" s="53">
        <f>J56+E56</f>
        <v>37816619</v>
      </c>
    </row>
    <row r="57" spans="1:16" s="122" customFormat="1" ht="42.75" customHeight="1">
      <c r="A57" s="5" t="s">
        <v>111</v>
      </c>
      <c r="B57" s="5" t="s">
        <v>112</v>
      </c>
      <c r="C57" s="5" t="s">
        <v>113</v>
      </c>
      <c r="D57" s="54" t="s">
        <v>357</v>
      </c>
      <c r="E57" s="53">
        <f aca="true" t="shared" si="16" ref="E57:E68">F57+I57</f>
        <v>58355373</v>
      </c>
      <c r="F57" s="53">
        <f>52834600+1963300+1749203+99816+10000-295000+1359418+49000+200000+388036-3000</f>
        <v>58355373</v>
      </c>
      <c r="G57" s="53">
        <f>29521900+1609300+527100</f>
        <v>31658300</v>
      </c>
      <c r="H57" s="53">
        <f>15689000+1466810-445000</f>
        <v>16710810</v>
      </c>
      <c r="I57" s="53"/>
      <c r="J57" s="53">
        <f aca="true" t="shared" si="17" ref="J57:J68">L57+O57</f>
        <v>2584200</v>
      </c>
      <c r="K57" s="53"/>
      <c r="L57" s="53">
        <v>2584200</v>
      </c>
      <c r="M57" s="53"/>
      <c r="N57" s="53"/>
      <c r="O57" s="53"/>
      <c r="P57" s="53">
        <f aca="true" t="shared" si="18" ref="P57:P68">J57+E57</f>
        <v>60939573</v>
      </c>
    </row>
    <row r="58" spans="1:16" s="122" customFormat="1" ht="36" customHeight="1">
      <c r="A58" s="5" t="s">
        <v>115</v>
      </c>
      <c r="B58" s="5" t="s">
        <v>116</v>
      </c>
      <c r="C58" s="5" t="s">
        <v>113</v>
      </c>
      <c r="D58" s="54" t="s">
        <v>440</v>
      </c>
      <c r="E58" s="53">
        <f t="shared" si="16"/>
        <v>89254700</v>
      </c>
      <c r="F58" s="53">
        <f>89256900-2200</f>
        <v>89254700</v>
      </c>
      <c r="G58" s="53">
        <f>73256900+443200</f>
        <v>73700100</v>
      </c>
      <c r="H58" s="53"/>
      <c r="I58" s="53"/>
      <c r="J58" s="53">
        <f t="shared" si="17"/>
        <v>0</v>
      </c>
      <c r="K58" s="53"/>
      <c r="L58" s="53"/>
      <c r="M58" s="53"/>
      <c r="N58" s="53"/>
      <c r="O58" s="53"/>
      <c r="P58" s="53">
        <f t="shared" si="18"/>
        <v>89254700</v>
      </c>
    </row>
    <row r="59" spans="1:16" s="122" customFormat="1" ht="150" customHeight="1" hidden="1">
      <c r="A59" s="5" t="s">
        <v>301</v>
      </c>
      <c r="B59" s="5" t="s">
        <v>302</v>
      </c>
      <c r="C59" s="5" t="s">
        <v>113</v>
      </c>
      <c r="D59" s="54" t="s">
        <v>441</v>
      </c>
      <c r="E59" s="53">
        <f>F59+I59</f>
        <v>0</v>
      </c>
      <c r="F59" s="53"/>
      <c r="G59" s="53"/>
      <c r="H59" s="53"/>
      <c r="I59" s="53"/>
      <c r="J59" s="53">
        <f>L59+O59</f>
        <v>0</v>
      </c>
      <c r="K59" s="53"/>
      <c r="L59" s="53"/>
      <c r="M59" s="53"/>
      <c r="N59" s="53"/>
      <c r="O59" s="53"/>
      <c r="P59" s="53">
        <f>J59+E59</f>
        <v>0</v>
      </c>
    </row>
    <row r="60" spans="1:16" s="122" customFormat="1" ht="38.25" customHeight="1">
      <c r="A60" s="5" t="s">
        <v>117</v>
      </c>
      <c r="B60" s="5" t="s">
        <v>61</v>
      </c>
      <c r="C60" s="5" t="s">
        <v>118</v>
      </c>
      <c r="D60" s="116" t="s">
        <v>119</v>
      </c>
      <c r="E60" s="53">
        <f t="shared" si="16"/>
        <v>3210400</v>
      </c>
      <c r="F60" s="53">
        <f>3178600+30100+1700</f>
        <v>3210400</v>
      </c>
      <c r="G60" s="53">
        <f>2350600+16500</f>
        <v>2367100</v>
      </c>
      <c r="H60" s="53">
        <v>308900</v>
      </c>
      <c r="I60" s="53"/>
      <c r="J60" s="53">
        <f t="shared" si="17"/>
        <v>70000</v>
      </c>
      <c r="K60" s="53">
        <v>70000</v>
      </c>
      <c r="L60" s="53"/>
      <c r="M60" s="53"/>
      <c r="N60" s="53"/>
      <c r="O60" s="53">
        <v>70000</v>
      </c>
      <c r="P60" s="53">
        <f t="shared" si="18"/>
        <v>3280400</v>
      </c>
    </row>
    <row r="61" spans="1:16" s="122" customFormat="1" ht="31.5" customHeight="1">
      <c r="A61" s="5" t="s">
        <v>120</v>
      </c>
      <c r="B61" s="5" t="s">
        <v>121</v>
      </c>
      <c r="C61" s="5" t="s">
        <v>122</v>
      </c>
      <c r="D61" s="54" t="s">
        <v>123</v>
      </c>
      <c r="E61" s="53">
        <f t="shared" si="16"/>
        <v>6034640</v>
      </c>
      <c r="F61" s="53">
        <f>4951200+85360+295000+622660+80420</f>
        <v>6034640</v>
      </c>
      <c r="G61" s="53">
        <f>3337100+161400</f>
        <v>3498500</v>
      </c>
      <c r="H61" s="53"/>
      <c r="I61" s="53"/>
      <c r="J61" s="53">
        <f t="shared" si="17"/>
        <v>275000</v>
      </c>
      <c r="K61" s="53">
        <f>25000+250000</f>
        <v>275000</v>
      </c>
      <c r="L61" s="53"/>
      <c r="M61" s="53"/>
      <c r="N61" s="53"/>
      <c r="O61" s="53">
        <f>25000+250000</f>
        <v>275000</v>
      </c>
      <c r="P61" s="53">
        <f t="shared" si="18"/>
        <v>6309640</v>
      </c>
    </row>
    <row r="62" spans="1:16" s="122" customFormat="1" ht="27.75" customHeight="1">
      <c r="A62" s="5" t="s">
        <v>124</v>
      </c>
      <c r="B62" s="5" t="s">
        <v>125</v>
      </c>
      <c r="C62" s="5" t="s">
        <v>122</v>
      </c>
      <c r="D62" s="116" t="s">
        <v>126</v>
      </c>
      <c r="E62" s="53">
        <f t="shared" si="16"/>
        <v>492006</v>
      </c>
      <c r="F62" s="53">
        <f>150000+109100+18100+139806+75000</f>
        <v>492006</v>
      </c>
      <c r="G62" s="53"/>
      <c r="H62" s="53"/>
      <c r="I62" s="53"/>
      <c r="J62" s="53">
        <f t="shared" si="17"/>
        <v>0</v>
      </c>
      <c r="K62" s="53"/>
      <c r="L62" s="53"/>
      <c r="M62" s="53"/>
      <c r="N62" s="53"/>
      <c r="O62" s="53"/>
      <c r="P62" s="53">
        <f t="shared" si="18"/>
        <v>492006</v>
      </c>
    </row>
    <row r="63" spans="1:16" s="122" customFormat="1" ht="39" customHeight="1">
      <c r="A63" s="5" t="s">
        <v>127</v>
      </c>
      <c r="B63" s="5" t="s">
        <v>128</v>
      </c>
      <c r="C63" s="5" t="s">
        <v>122</v>
      </c>
      <c r="D63" s="116" t="s">
        <v>129</v>
      </c>
      <c r="E63" s="53">
        <f t="shared" si="16"/>
        <v>141900</v>
      </c>
      <c r="F63" s="53">
        <f>139900+2000</f>
        <v>141900</v>
      </c>
      <c r="G63" s="53">
        <f>42100+1600</f>
        <v>43700</v>
      </c>
      <c r="H63" s="53">
        <v>79700</v>
      </c>
      <c r="I63" s="53"/>
      <c r="J63" s="53">
        <f t="shared" si="17"/>
        <v>0</v>
      </c>
      <c r="K63" s="53"/>
      <c r="L63" s="53"/>
      <c r="M63" s="53"/>
      <c r="N63" s="53"/>
      <c r="O63" s="53"/>
      <c r="P63" s="53">
        <f t="shared" si="18"/>
        <v>141900</v>
      </c>
    </row>
    <row r="64" spans="1:16" s="122" customFormat="1" ht="42" customHeight="1">
      <c r="A64" s="5" t="s">
        <v>130</v>
      </c>
      <c r="B64" s="5" t="s">
        <v>131</v>
      </c>
      <c r="C64" s="5" t="s">
        <v>122</v>
      </c>
      <c r="D64" s="116" t="s">
        <v>132</v>
      </c>
      <c r="E64" s="53">
        <f t="shared" si="16"/>
        <v>2950560</v>
      </c>
      <c r="F64" s="53">
        <v>2950560</v>
      </c>
      <c r="G64" s="53">
        <v>2418500</v>
      </c>
      <c r="H64" s="53"/>
      <c r="I64" s="53"/>
      <c r="J64" s="53">
        <f t="shared" si="17"/>
        <v>0</v>
      </c>
      <c r="K64" s="53"/>
      <c r="L64" s="53"/>
      <c r="M64" s="53"/>
      <c r="N64" s="53"/>
      <c r="O64" s="53"/>
      <c r="P64" s="53">
        <f t="shared" si="18"/>
        <v>2950560</v>
      </c>
    </row>
    <row r="65" spans="1:16" s="122" customFormat="1" ht="50.25" customHeight="1">
      <c r="A65" s="5" t="s">
        <v>133</v>
      </c>
      <c r="B65" s="5" t="s">
        <v>134</v>
      </c>
      <c r="C65" s="5" t="s">
        <v>122</v>
      </c>
      <c r="D65" s="116" t="s">
        <v>135</v>
      </c>
      <c r="E65" s="53">
        <f t="shared" si="16"/>
        <v>1535994</v>
      </c>
      <c r="F65" s="53">
        <f>1009300+526694</f>
        <v>1535994</v>
      </c>
      <c r="G65" s="53">
        <f>817500+431714</f>
        <v>1249214</v>
      </c>
      <c r="H65" s="53"/>
      <c r="I65" s="53"/>
      <c r="J65" s="53">
        <f t="shared" si="17"/>
        <v>0</v>
      </c>
      <c r="K65" s="53"/>
      <c r="L65" s="53"/>
      <c r="M65" s="53"/>
      <c r="N65" s="53"/>
      <c r="O65" s="53"/>
      <c r="P65" s="53">
        <f t="shared" si="18"/>
        <v>1535994</v>
      </c>
    </row>
    <row r="66" spans="1:16" s="122" customFormat="1" ht="83.25" customHeight="1" hidden="1">
      <c r="A66" s="5" t="s">
        <v>278</v>
      </c>
      <c r="B66" s="5" t="s">
        <v>280</v>
      </c>
      <c r="C66" s="5" t="s">
        <v>122</v>
      </c>
      <c r="D66" s="116" t="s">
        <v>282</v>
      </c>
      <c r="E66" s="53">
        <f>F66+I66</f>
        <v>0</v>
      </c>
      <c r="F66" s="53"/>
      <c r="G66" s="53"/>
      <c r="H66" s="53"/>
      <c r="I66" s="53"/>
      <c r="J66" s="53">
        <f>L66+O66</f>
        <v>0</v>
      </c>
      <c r="K66" s="53"/>
      <c r="L66" s="53"/>
      <c r="M66" s="53"/>
      <c r="N66" s="53"/>
      <c r="O66" s="53"/>
      <c r="P66" s="53">
        <f>J66+E66</f>
        <v>0</v>
      </c>
    </row>
    <row r="67" spans="1:16" s="122" customFormat="1" ht="79.5" customHeight="1" hidden="1">
      <c r="A67" s="5" t="s">
        <v>279</v>
      </c>
      <c r="B67" s="5" t="s">
        <v>281</v>
      </c>
      <c r="C67" s="5" t="s">
        <v>122</v>
      </c>
      <c r="D67" s="116" t="s">
        <v>283</v>
      </c>
      <c r="E67" s="53">
        <f>F67+I67</f>
        <v>0</v>
      </c>
      <c r="F67" s="53"/>
      <c r="G67" s="53"/>
      <c r="H67" s="53"/>
      <c r="I67" s="53"/>
      <c r="J67" s="53">
        <f>L67+O67</f>
        <v>0</v>
      </c>
      <c r="K67" s="53"/>
      <c r="L67" s="53"/>
      <c r="M67" s="53"/>
      <c r="N67" s="53"/>
      <c r="O67" s="53"/>
      <c r="P67" s="53">
        <f>J67+E67</f>
        <v>0</v>
      </c>
    </row>
    <row r="68" spans="1:16" s="122" customFormat="1" ht="54" customHeight="1">
      <c r="A68" s="5" t="s">
        <v>136</v>
      </c>
      <c r="B68" s="5" t="s">
        <v>137</v>
      </c>
      <c r="C68" s="5" t="s">
        <v>122</v>
      </c>
      <c r="D68" s="116" t="s">
        <v>138</v>
      </c>
      <c r="E68" s="53">
        <f t="shared" si="16"/>
        <v>594526</v>
      </c>
      <c r="F68" s="53">
        <v>594526</v>
      </c>
      <c r="G68" s="53">
        <v>491340</v>
      </c>
      <c r="H68" s="53"/>
      <c r="I68" s="53"/>
      <c r="J68" s="53">
        <f t="shared" si="17"/>
        <v>0</v>
      </c>
      <c r="K68" s="53"/>
      <c r="L68" s="53"/>
      <c r="M68" s="53"/>
      <c r="N68" s="53"/>
      <c r="O68" s="53"/>
      <c r="P68" s="53">
        <f t="shared" si="18"/>
        <v>594526</v>
      </c>
    </row>
    <row r="69" spans="1:16" s="122" customFormat="1" ht="75" customHeight="1" hidden="1">
      <c r="A69" s="5" t="s">
        <v>284</v>
      </c>
      <c r="B69" s="5" t="s">
        <v>285</v>
      </c>
      <c r="C69" s="5" t="s">
        <v>122</v>
      </c>
      <c r="D69" s="116" t="s">
        <v>442</v>
      </c>
      <c r="E69" s="53">
        <f>F69+I69</f>
        <v>0</v>
      </c>
      <c r="F69" s="53"/>
      <c r="G69" s="53"/>
      <c r="H69" s="53"/>
      <c r="I69" s="53"/>
      <c r="J69" s="53">
        <f>L69+O69</f>
        <v>0</v>
      </c>
      <c r="K69" s="53"/>
      <c r="L69" s="53"/>
      <c r="M69" s="53"/>
      <c r="N69" s="53"/>
      <c r="O69" s="53"/>
      <c r="P69" s="53">
        <f>J69+E69</f>
        <v>0</v>
      </c>
    </row>
    <row r="70" spans="1:16" s="122" customFormat="1" ht="34.5" customHeight="1" hidden="1">
      <c r="A70" s="201"/>
      <c r="B70" s="201" t="s">
        <v>259</v>
      </c>
      <c r="C70" s="201"/>
      <c r="D70" s="203" t="s">
        <v>260</v>
      </c>
      <c r="E70" s="202">
        <f>SUM(E71)</f>
        <v>0</v>
      </c>
      <c r="F70" s="202">
        <f aca="true" t="shared" si="19" ref="F70:P70">SUM(F71)</f>
        <v>0</v>
      </c>
      <c r="G70" s="202">
        <f t="shared" si="19"/>
        <v>0</v>
      </c>
      <c r="H70" s="202">
        <f t="shared" si="19"/>
        <v>0</v>
      </c>
      <c r="I70" s="202">
        <f t="shared" si="19"/>
        <v>0</v>
      </c>
      <c r="J70" s="202">
        <f t="shared" si="19"/>
        <v>0</v>
      </c>
      <c r="K70" s="202">
        <f t="shared" si="19"/>
        <v>0</v>
      </c>
      <c r="L70" s="202">
        <f t="shared" si="19"/>
        <v>0</v>
      </c>
      <c r="M70" s="202">
        <f t="shared" si="19"/>
        <v>0</v>
      </c>
      <c r="N70" s="202">
        <f t="shared" si="19"/>
        <v>0</v>
      </c>
      <c r="O70" s="202">
        <f t="shared" si="19"/>
        <v>0</v>
      </c>
      <c r="P70" s="202">
        <f t="shared" si="19"/>
        <v>0</v>
      </c>
    </row>
    <row r="71" spans="1:16" s="122" customFormat="1" ht="55.5" customHeight="1" hidden="1">
      <c r="A71" s="5" t="s">
        <v>296</v>
      </c>
      <c r="B71" s="5" t="s">
        <v>261</v>
      </c>
      <c r="C71" s="5" t="s">
        <v>93</v>
      </c>
      <c r="D71" s="116" t="s">
        <v>262</v>
      </c>
      <c r="E71" s="53">
        <f>F71+I71</f>
        <v>0</v>
      </c>
      <c r="F71" s="53"/>
      <c r="G71" s="53"/>
      <c r="H71" s="53"/>
      <c r="I71" s="53"/>
      <c r="J71" s="53">
        <f>L71+O71</f>
        <v>0</v>
      </c>
      <c r="K71" s="53"/>
      <c r="L71" s="53"/>
      <c r="M71" s="53"/>
      <c r="N71" s="53"/>
      <c r="O71" s="53"/>
      <c r="P71" s="53">
        <f>J71+E71</f>
        <v>0</v>
      </c>
    </row>
    <row r="72" spans="1:16" s="122" customFormat="1" ht="36.75" customHeight="1">
      <c r="A72" s="199" t="s">
        <v>382</v>
      </c>
      <c r="B72" s="199"/>
      <c r="C72" s="199"/>
      <c r="D72" s="200" t="s">
        <v>383</v>
      </c>
      <c r="E72" s="115">
        <f>E73</f>
        <v>18045417</v>
      </c>
      <c r="F72" s="115">
        <f aca="true" t="shared" si="20" ref="F72:P72">F73</f>
        <v>18045417</v>
      </c>
      <c r="G72" s="115">
        <f t="shared" si="20"/>
        <v>11481750</v>
      </c>
      <c r="H72" s="115">
        <f t="shared" si="20"/>
        <v>532080</v>
      </c>
      <c r="I72" s="115">
        <f t="shared" si="20"/>
        <v>0</v>
      </c>
      <c r="J72" s="115">
        <f t="shared" si="20"/>
        <v>8694966.76</v>
      </c>
      <c r="K72" s="115">
        <f t="shared" si="20"/>
        <v>8664845.76</v>
      </c>
      <c r="L72" s="115">
        <f t="shared" si="20"/>
        <v>30121</v>
      </c>
      <c r="M72" s="115">
        <f t="shared" si="20"/>
        <v>0</v>
      </c>
      <c r="N72" s="115">
        <f t="shared" si="20"/>
        <v>0</v>
      </c>
      <c r="O72" s="115">
        <f t="shared" si="20"/>
        <v>8664845.76</v>
      </c>
      <c r="P72" s="115">
        <f t="shared" si="20"/>
        <v>26740383.759999998</v>
      </c>
    </row>
    <row r="73" spans="1:16" s="122" customFormat="1" ht="37.5" customHeight="1">
      <c r="A73" s="199" t="s">
        <v>384</v>
      </c>
      <c r="B73" s="199"/>
      <c r="C73" s="199"/>
      <c r="D73" s="200" t="str">
        <f>D72</f>
        <v>Управління соціального захисту населення Тетіївської міської ради</v>
      </c>
      <c r="E73" s="115">
        <f>E74+E76+E86</f>
        <v>18045417</v>
      </c>
      <c r="F73" s="115">
        <f aca="true" t="shared" si="21" ref="F73:P73">F74+F76+F86</f>
        <v>18045417</v>
      </c>
      <c r="G73" s="115">
        <f t="shared" si="21"/>
        <v>11481750</v>
      </c>
      <c r="H73" s="115">
        <f t="shared" si="21"/>
        <v>532080</v>
      </c>
      <c r="I73" s="115">
        <f t="shared" si="21"/>
        <v>0</v>
      </c>
      <c r="J73" s="115">
        <f t="shared" si="21"/>
        <v>8694966.76</v>
      </c>
      <c r="K73" s="115">
        <f t="shared" si="21"/>
        <v>8664845.76</v>
      </c>
      <c r="L73" s="115">
        <f t="shared" si="21"/>
        <v>30121</v>
      </c>
      <c r="M73" s="115">
        <f t="shared" si="21"/>
        <v>0</v>
      </c>
      <c r="N73" s="115">
        <f t="shared" si="21"/>
        <v>0</v>
      </c>
      <c r="O73" s="115">
        <f t="shared" si="21"/>
        <v>8664845.76</v>
      </c>
      <c r="P73" s="115">
        <f t="shared" si="21"/>
        <v>26740383.759999998</v>
      </c>
    </row>
    <row r="74" spans="1:16" s="122" customFormat="1" ht="37.5" customHeight="1">
      <c r="A74" s="199"/>
      <c r="B74" s="199" t="s">
        <v>240</v>
      </c>
      <c r="C74" s="199"/>
      <c r="D74" s="200" t="s">
        <v>241</v>
      </c>
      <c r="E74" s="115">
        <f>E75</f>
        <v>1288150</v>
      </c>
      <c r="F74" s="115">
        <f aca="true" t="shared" si="22" ref="F74:P74">F75</f>
        <v>1288150</v>
      </c>
      <c r="G74" s="115">
        <f t="shared" si="22"/>
        <v>1049850</v>
      </c>
      <c r="H74" s="115">
        <f t="shared" si="22"/>
        <v>0</v>
      </c>
      <c r="I74" s="115">
        <f t="shared" si="22"/>
        <v>0</v>
      </c>
      <c r="J74" s="115">
        <f t="shared" si="22"/>
        <v>0</v>
      </c>
      <c r="K74" s="115">
        <f t="shared" si="22"/>
        <v>0</v>
      </c>
      <c r="L74" s="115">
        <f t="shared" si="22"/>
        <v>0</v>
      </c>
      <c r="M74" s="115">
        <f t="shared" si="22"/>
        <v>0</v>
      </c>
      <c r="N74" s="115">
        <f t="shared" si="22"/>
        <v>0</v>
      </c>
      <c r="O74" s="115">
        <f t="shared" si="22"/>
        <v>0</v>
      </c>
      <c r="P74" s="115">
        <f t="shared" si="22"/>
        <v>1288150</v>
      </c>
    </row>
    <row r="75" spans="1:16" s="122" customFormat="1" ht="47.25" customHeight="1">
      <c r="A75" s="5" t="s">
        <v>385</v>
      </c>
      <c r="B75" s="5" t="s">
        <v>106</v>
      </c>
      <c r="C75" s="5" t="s">
        <v>45</v>
      </c>
      <c r="D75" s="54" t="s">
        <v>372</v>
      </c>
      <c r="E75" s="53">
        <f>F75+I75</f>
        <v>1288150</v>
      </c>
      <c r="F75" s="53">
        <f>1130600+118600+4000+34950</f>
        <v>1288150</v>
      </c>
      <c r="G75" s="53">
        <f>917700+97200+34950</f>
        <v>1049850</v>
      </c>
      <c r="H75" s="115"/>
      <c r="I75" s="115"/>
      <c r="J75" s="115"/>
      <c r="K75" s="115"/>
      <c r="L75" s="115"/>
      <c r="M75" s="115"/>
      <c r="N75" s="115"/>
      <c r="O75" s="115"/>
      <c r="P75" s="53">
        <f>J75+E75</f>
        <v>1288150</v>
      </c>
    </row>
    <row r="76" spans="1:16" s="123" customFormat="1" ht="35.25" customHeight="1">
      <c r="A76" s="201"/>
      <c r="B76" s="201" t="s">
        <v>248</v>
      </c>
      <c r="C76" s="201"/>
      <c r="D76" s="117" t="s">
        <v>249</v>
      </c>
      <c r="E76" s="202">
        <f>SUM(E77:E85)</f>
        <v>16757267</v>
      </c>
      <c r="F76" s="202">
        <f aca="true" t="shared" si="23" ref="F76:P76">SUM(F77:F85)</f>
        <v>16757267</v>
      </c>
      <c r="G76" s="202">
        <f t="shared" si="23"/>
        <v>10431900</v>
      </c>
      <c r="H76" s="202">
        <f t="shared" si="23"/>
        <v>532080</v>
      </c>
      <c r="I76" s="202">
        <f t="shared" si="23"/>
        <v>0</v>
      </c>
      <c r="J76" s="202">
        <f t="shared" si="23"/>
        <v>8664845.76</v>
      </c>
      <c r="K76" s="202">
        <f t="shared" si="23"/>
        <v>8664845.76</v>
      </c>
      <c r="L76" s="202">
        <f t="shared" si="23"/>
        <v>0</v>
      </c>
      <c r="M76" s="202">
        <f t="shared" si="23"/>
        <v>0</v>
      </c>
      <c r="N76" s="202">
        <f t="shared" si="23"/>
        <v>0</v>
      </c>
      <c r="O76" s="202">
        <f t="shared" si="23"/>
        <v>8664845.76</v>
      </c>
      <c r="P76" s="202">
        <f t="shared" si="23"/>
        <v>25422112.759999998</v>
      </c>
    </row>
    <row r="77" spans="1:16" s="122" customFormat="1" ht="42.75" customHeight="1">
      <c r="A77" s="5" t="s">
        <v>386</v>
      </c>
      <c r="B77" s="5" t="s">
        <v>250</v>
      </c>
      <c r="C77" s="5" t="s">
        <v>61</v>
      </c>
      <c r="D77" s="116" t="s">
        <v>251</v>
      </c>
      <c r="E77" s="53">
        <f aca="true" t="shared" si="24" ref="E77:E85">F77+I77</f>
        <v>3500</v>
      </c>
      <c r="F77" s="53">
        <v>3500</v>
      </c>
      <c r="G77" s="53"/>
      <c r="H77" s="53"/>
      <c r="I77" s="53"/>
      <c r="J77" s="53">
        <f aca="true" t="shared" si="25" ref="J77:J85">L77+O77</f>
        <v>0</v>
      </c>
      <c r="K77" s="53"/>
      <c r="L77" s="53"/>
      <c r="M77" s="53"/>
      <c r="N77" s="53"/>
      <c r="O77" s="53"/>
      <c r="P77" s="53">
        <f aca="true" t="shared" si="26" ref="P77:P85">J77+E77</f>
        <v>3500</v>
      </c>
    </row>
    <row r="78" spans="1:16" s="122" customFormat="1" ht="42.75" customHeight="1" hidden="1">
      <c r="A78" s="5" t="s">
        <v>415</v>
      </c>
      <c r="B78" s="5" t="s">
        <v>416</v>
      </c>
      <c r="C78" s="5" t="s">
        <v>417</v>
      </c>
      <c r="D78" s="116" t="s">
        <v>418</v>
      </c>
      <c r="E78" s="53">
        <f t="shared" si="24"/>
        <v>0</v>
      </c>
      <c r="F78" s="53">
        <f>300000-300000</f>
        <v>0</v>
      </c>
      <c r="G78" s="53"/>
      <c r="H78" s="53"/>
      <c r="I78" s="53"/>
      <c r="J78" s="53">
        <f t="shared" si="25"/>
        <v>0</v>
      </c>
      <c r="K78" s="53"/>
      <c r="L78" s="53"/>
      <c r="M78" s="53"/>
      <c r="N78" s="53"/>
      <c r="O78" s="53"/>
      <c r="P78" s="53">
        <f t="shared" si="26"/>
        <v>0</v>
      </c>
    </row>
    <row r="79" spans="1:16" s="122" customFormat="1" ht="56.25" customHeight="1">
      <c r="A79" s="5" t="s">
        <v>404</v>
      </c>
      <c r="B79" s="5" t="s">
        <v>405</v>
      </c>
      <c r="C79" s="5" t="s">
        <v>406</v>
      </c>
      <c r="D79" s="116" t="s">
        <v>407</v>
      </c>
      <c r="E79" s="53">
        <f t="shared" si="24"/>
        <v>11355567</v>
      </c>
      <c r="F79" s="53">
        <f>11178200+30000+85450+10000+51917</f>
        <v>11355567</v>
      </c>
      <c r="G79" s="53">
        <v>8760000</v>
      </c>
      <c r="H79" s="53">
        <f>456000+76080</f>
        <v>532080</v>
      </c>
      <c r="I79" s="53"/>
      <c r="J79" s="53">
        <f t="shared" si="25"/>
        <v>0</v>
      </c>
      <c r="K79" s="53"/>
      <c r="L79" s="53"/>
      <c r="M79" s="53"/>
      <c r="N79" s="53"/>
      <c r="O79" s="53"/>
      <c r="P79" s="53">
        <f t="shared" si="26"/>
        <v>11355567</v>
      </c>
    </row>
    <row r="80" spans="1:16" s="122" customFormat="1" ht="36" customHeight="1">
      <c r="A80" s="5" t="s">
        <v>190</v>
      </c>
      <c r="B80" s="5" t="s">
        <v>374</v>
      </c>
      <c r="C80" s="5" t="s">
        <v>63</v>
      </c>
      <c r="D80" s="116" t="s">
        <v>376</v>
      </c>
      <c r="E80" s="53">
        <f>F80+I80</f>
        <v>20000</v>
      </c>
      <c r="F80" s="53">
        <f>20000</f>
        <v>20000</v>
      </c>
      <c r="G80" s="53"/>
      <c r="H80" s="53"/>
      <c r="I80" s="53"/>
      <c r="J80" s="53">
        <f>L80+O80</f>
        <v>0</v>
      </c>
      <c r="K80" s="53"/>
      <c r="L80" s="53"/>
      <c r="M80" s="53"/>
      <c r="N80" s="53"/>
      <c r="O80" s="53"/>
      <c r="P80" s="53">
        <f>J80+E80</f>
        <v>20000</v>
      </c>
    </row>
    <row r="81" spans="1:16" s="122" customFormat="1" ht="33" customHeight="1">
      <c r="A81" s="5" t="s">
        <v>387</v>
      </c>
      <c r="B81" s="5" t="s">
        <v>62</v>
      </c>
      <c r="C81" s="5" t="s">
        <v>63</v>
      </c>
      <c r="D81" s="54" t="s">
        <v>64</v>
      </c>
      <c r="E81" s="53">
        <f t="shared" si="24"/>
        <v>2046200</v>
      </c>
      <c r="F81" s="53">
        <f>2011200+15000+20000</f>
        <v>2046200</v>
      </c>
      <c r="G81" s="53">
        <v>1671900</v>
      </c>
      <c r="H81" s="53">
        <f>10000-10000</f>
        <v>0</v>
      </c>
      <c r="I81" s="53"/>
      <c r="J81" s="53">
        <f t="shared" si="25"/>
        <v>0</v>
      </c>
      <c r="K81" s="53"/>
      <c r="L81" s="53"/>
      <c r="M81" s="53"/>
      <c r="N81" s="53"/>
      <c r="O81" s="53"/>
      <c r="P81" s="53">
        <f t="shared" si="26"/>
        <v>2046200</v>
      </c>
    </row>
    <row r="82" spans="1:16" s="122" customFormat="1" ht="93" customHeight="1" hidden="1">
      <c r="A82" s="5" t="s">
        <v>252</v>
      </c>
      <c r="B82" s="5" t="s">
        <v>253</v>
      </c>
      <c r="C82" s="5" t="s">
        <v>63</v>
      </c>
      <c r="D82" s="54" t="s">
        <v>254</v>
      </c>
      <c r="E82" s="53">
        <f t="shared" si="24"/>
        <v>0</v>
      </c>
      <c r="F82" s="53"/>
      <c r="G82" s="53"/>
      <c r="H82" s="53"/>
      <c r="I82" s="53"/>
      <c r="J82" s="53">
        <f t="shared" si="25"/>
        <v>0</v>
      </c>
      <c r="K82" s="53"/>
      <c r="L82" s="53"/>
      <c r="M82" s="53"/>
      <c r="N82" s="53"/>
      <c r="O82" s="53"/>
      <c r="P82" s="53">
        <f t="shared" si="26"/>
        <v>0</v>
      </c>
    </row>
    <row r="83" spans="1:16" s="122" customFormat="1" ht="79.5" customHeight="1">
      <c r="A83" s="5" t="s">
        <v>388</v>
      </c>
      <c r="B83" s="5" t="s">
        <v>255</v>
      </c>
      <c r="C83" s="5" t="s">
        <v>108</v>
      </c>
      <c r="D83" s="54" t="s">
        <v>256</v>
      </c>
      <c r="E83" s="53">
        <f t="shared" si="24"/>
        <v>715000</v>
      </c>
      <c r="F83" s="53">
        <v>715000</v>
      </c>
      <c r="G83" s="53"/>
      <c r="H83" s="53"/>
      <c r="I83" s="53"/>
      <c r="J83" s="53">
        <f t="shared" si="25"/>
        <v>0</v>
      </c>
      <c r="K83" s="53"/>
      <c r="L83" s="53"/>
      <c r="M83" s="53"/>
      <c r="N83" s="53"/>
      <c r="O83" s="53"/>
      <c r="P83" s="53">
        <f t="shared" si="26"/>
        <v>715000</v>
      </c>
    </row>
    <row r="84" spans="1:16" s="122" customFormat="1" ht="309.75" customHeight="1">
      <c r="A84" s="5" t="s">
        <v>331</v>
      </c>
      <c r="B84" s="5" t="s">
        <v>332</v>
      </c>
      <c r="C84" s="5" t="s">
        <v>334</v>
      </c>
      <c r="D84" s="54" t="s">
        <v>333</v>
      </c>
      <c r="E84" s="53">
        <f>F84+I84</f>
        <v>0</v>
      </c>
      <c r="F84" s="53"/>
      <c r="G84" s="53"/>
      <c r="H84" s="53"/>
      <c r="I84" s="53"/>
      <c r="J84" s="53">
        <f>L84+O84</f>
        <v>8664845.76</v>
      </c>
      <c r="K84" s="53">
        <f>8664845.76</f>
        <v>8664845.76</v>
      </c>
      <c r="L84" s="53"/>
      <c r="M84" s="53"/>
      <c r="N84" s="53"/>
      <c r="O84" s="53">
        <f>8664845.76</f>
        <v>8664845.76</v>
      </c>
      <c r="P84" s="53">
        <f>J84+E84</f>
        <v>8664845.76</v>
      </c>
    </row>
    <row r="85" spans="1:16" s="122" customFormat="1" ht="42.75" customHeight="1">
      <c r="A85" s="5" t="s">
        <v>389</v>
      </c>
      <c r="B85" s="5" t="s">
        <v>67</v>
      </c>
      <c r="C85" s="5" t="s">
        <v>65</v>
      </c>
      <c r="D85" s="54" t="s">
        <v>68</v>
      </c>
      <c r="E85" s="53">
        <f t="shared" si="24"/>
        <v>2617000</v>
      </c>
      <c r="F85" s="53">
        <f>370000+638000+300000+400000+140000+110000+310000+100000+12000+132000+105000</f>
        <v>2617000</v>
      </c>
      <c r="G85" s="53"/>
      <c r="H85" s="53"/>
      <c r="I85" s="53"/>
      <c r="J85" s="53">
        <f t="shared" si="25"/>
        <v>0</v>
      </c>
      <c r="K85" s="53"/>
      <c r="L85" s="53"/>
      <c r="M85" s="53"/>
      <c r="N85" s="53"/>
      <c r="O85" s="53"/>
      <c r="P85" s="53">
        <f t="shared" si="26"/>
        <v>2617000</v>
      </c>
    </row>
    <row r="86" spans="1:16" s="123" customFormat="1" ht="33.75" customHeight="1">
      <c r="A86" s="201"/>
      <c r="B86" s="201" t="s">
        <v>259</v>
      </c>
      <c r="C86" s="201"/>
      <c r="D86" s="203" t="s">
        <v>260</v>
      </c>
      <c r="E86" s="202">
        <f>SUM(E87)</f>
        <v>0</v>
      </c>
      <c r="F86" s="202">
        <f aca="true" t="shared" si="27" ref="F86:P86">SUM(F87)</f>
        <v>0</v>
      </c>
      <c r="G86" s="202">
        <f t="shared" si="27"/>
        <v>0</v>
      </c>
      <c r="H86" s="202">
        <f t="shared" si="27"/>
        <v>0</v>
      </c>
      <c r="I86" s="202">
        <f t="shared" si="27"/>
        <v>0</v>
      </c>
      <c r="J86" s="202">
        <f t="shared" si="27"/>
        <v>30121</v>
      </c>
      <c r="K86" s="202">
        <f t="shared" si="27"/>
        <v>0</v>
      </c>
      <c r="L86" s="202">
        <f t="shared" si="27"/>
        <v>30121</v>
      </c>
      <c r="M86" s="202">
        <f t="shared" si="27"/>
        <v>0</v>
      </c>
      <c r="N86" s="202">
        <f t="shared" si="27"/>
        <v>0</v>
      </c>
      <c r="O86" s="202">
        <f t="shared" si="27"/>
        <v>0</v>
      </c>
      <c r="P86" s="202">
        <f t="shared" si="27"/>
        <v>30121</v>
      </c>
    </row>
    <row r="87" spans="1:16" s="122" customFormat="1" ht="120" customHeight="1">
      <c r="A87" s="5" t="s">
        <v>350</v>
      </c>
      <c r="B87" s="5" t="s">
        <v>304</v>
      </c>
      <c r="C87" s="5" t="s">
        <v>93</v>
      </c>
      <c r="D87" s="116" t="s">
        <v>305</v>
      </c>
      <c r="E87" s="53">
        <f>F87+I87</f>
        <v>0</v>
      </c>
      <c r="F87" s="53"/>
      <c r="G87" s="53"/>
      <c r="H87" s="53"/>
      <c r="I87" s="53"/>
      <c r="J87" s="53">
        <f>L87+O87</f>
        <v>30121</v>
      </c>
      <c r="K87" s="53"/>
      <c r="L87" s="53">
        <v>30121</v>
      </c>
      <c r="M87" s="53"/>
      <c r="N87" s="53"/>
      <c r="O87" s="53"/>
      <c r="P87" s="53">
        <f>J87+E87</f>
        <v>30121</v>
      </c>
    </row>
    <row r="88" spans="1:16" s="122" customFormat="1" ht="36.75" customHeight="1">
      <c r="A88" s="199" t="s">
        <v>142</v>
      </c>
      <c r="B88" s="199"/>
      <c r="C88" s="199"/>
      <c r="D88" s="200" t="s">
        <v>288</v>
      </c>
      <c r="E88" s="115">
        <f>E89</f>
        <v>23248057.11</v>
      </c>
      <c r="F88" s="115">
        <f aca="true" t="shared" si="28" ref="F88:P88">F89</f>
        <v>23248057.11</v>
      </c>
      <c r="G88" s="115">
        <f t="shared" si="28"/>
        <v>16278330</v>
      </c>
      <c r="H88" s="115">
        <f t="shared" si="28"/>
        <v>2274300</v>
      </c>
      <c r="I88" s="115">
        <f t="shared" si="28"/>
        <v>0</v>
      </c>
      <c r="J88" s="115">
        <f t="shared" si="28"/>
        <v>319400</v>
      </c>
      <c r="K88" s="115">
        <f t="shared" si="28"/>
        <v>111000</v>
      </c>
      <c r="L88" s="115">
        <f t="shared" si="28"/>
        <v>208400</v>
      </c>
      <c r="M88" s="115">
        <f t="shared" si="28"/>
        <v>134800</v>
      </c>
      <c r="N88" s="115">
        <f t="shared" si="28"/>
        <v>0</v>
      </c>
      <c r="O88" s="115">
        <f t="shared" si="28"/>
        <v>111000</v>
      </c>
      <c r="P88" s="115">
        <f t="shared" si="28"/>
        <v>23567457.11</v>
      </c>
    </row>
    <row r="89" spans="1:16" s="122" customFormat="1" ht="37.5" customHeight="1">
      <c r="A89" s="199" t="s">
        <v>143</v>
      </c>
      <c r="B89" s="199"/>
      <c r="C89" s="199"/>
      <c r="D89" s="200" t="str">
        <f>D88</f>
        <v>Відділ культури, молоді та спорту Тетіївської міської ради</v>
      </c>
      <c r="E89" s="115">
        <f>E90+E92+E94+E96+E102</f>
        <v>23248057.11</v>
      </c>
      <c r="F89" s="115">
        <f aca="true" t="shared" si="29" ref="F89:P89">F90+F92+F94+F96+F102</f>
        <v>23248057.11</v>
      </c>
      <c r="G89" s="115">
        <f t="shared" si="29"/>
        <v>16278330</v>
      </c>
      <c r="H89" s="115">
        <f t="shared" si="29"/>
        <v>2274300</v>
      </c>
      <c r="I89" s="115">
        <f t="shared" si="29"/>
        <v>0</v>
      </c>
      <c r="J89" s="115">
        <f t="shared" si="29"/>
        <v>319400</v>
      </c>
      <c r="K89" s="115">
        <f t="shared" si="29"/>
        <v>111000</v>
      </c>
      <c r="L89" s="115">
        <f t="shared" si="29"/>
        <v>208400</v>
      </c>
      <c r="M89" s="115">
        <f t="shared" si="29"/>
        <v>134800</v>
      </c>
      <c r="N89" s="115">
        <f t="shared" si="29"/>
        <v>0</v>
      </c>
      <c r="O89" s="115">
        <f t="shared" si="29"/>
        <v>111000</v>
      </c>
      <c r="P89" s="115">
        <f t="shared" si="29"/>
        <v>23567457.11</v>
      </c>
    </row>
    <row r="90" spans="1:16" s="122" customFormat="1" ht="37.5" customHeight="1">
      <c r="A90" s="199"/>
      <c r="B90" s="199" t="s">
        <v>240</v>
      </c>
      <c r="C90" s="199"/>
      <c r="D90" s="200" t="s">
        <v>241</v>
      </c>
      <c r="E90" s="115">
        <f>E91</f>
        <v>474355</v>
      </c>
      <c r="F90" s="115">
        <f aca="true" t="shared" si="30" ref="F90:P90">F91</f>
        <v>474355</v>
      </c>
      <c r="G90" s="115">
        <f t="shared" si="30"/>
        <v>385455</v>
      </c>
      <c r="H90" s="115">
        <f t="shared" si="30"/>
        <v>0</v>
      </c>
      <c r="I90" s="115">
        <f t="shared" si="30"/>
        <v>0</v>
      </c>
      <c r="J90" s="115">
        <f t="shared" si="30"/>
        <v>0</v>
      </c>
      <c r="K90" s="115">
        <f t="shared" si="30"/>
        <v>0</v>
      </c>
      <c r="L90" s="115">
        <f t="shared" si="30"/>
        <v>0</v>
      </c>
      <c r="M90" s="115">
        <f t="shared" si="30"/>
        <v>0</v>
      </c>
      <c r="N90" s="115">
        <f t="shared" si="30"/>
        <v>0</v>
      </c>
      <c r="O90" s="115">
        <f t="shared" si="30"/>
        <v>0</v>
      </c>
      <c r="P90" s="115">
        <f t="shared" si="30"/>
        <v>474355</v>
      </c>
    </row>
    <row r="91" spans="1:16" s="122" customFormat="1" ht="47.25" customHeight="1">
      <c r="A91" s="5" t="s">
        <v>144</v>
      </c>
      <c r="B91" s="5" t="s">
        <v>106</v>
      </c>
      <c r="C91" s="5" t="s">
        <v>45</v>
      </c>
      <c r="D91" s="54" t="s">
        <v>372</v>
      </c>
      <c r="E91" s="53">
        <f>F91+I91</f>
        <v>474355</v>
      </c>
      <c r="F91" s="53">
        <f>460300+4100+9955</f>
        <v>474355</v>
      </c>
      <c r="G91" s="53">
        <f>377300+8155</f>
        <v>385455</v>
      </c>
      <c r="H91" s="115"/>
      <c r="I91" s="115"/>
      <c r="J91" s="115"/>
      <c r="K91" s="115"/>
      <c r="L91" s="115"/>
      <c r="M91" s="115"/>
      <c r="N91" s="115"/>
      <c r="O91" s="115"/>
      <c r="P91" s="53">
        <f>J91+E91</f>
        <v>474355</v>
      </c>
    </row>
    <row r="92" spans="1:16" s="122" customFormat="1" ht="34.5" customHeight="1">
      <c r="A92" s="201"/>
      <c r="B92" s="201" t="s">
        <v>276</v>
      </c>
      <c r="C92" s="201"/>
      <c r="D92" s="117" t="s">
        <v>277</v>
      </c>
      <c r="E92" s="202">
        <f>SUM(E93)</f>
        <v>4081110</v>
      </c>
      <c r="F92" s="202">
        <f aca="true" t="shared" si="31" ref="F92:P92">SUM(F93)</f>
        <v>4081110</v>
      </c>
      <c r="G92" s="202">
        <f t="shared" si="31"/>
        <v>3038210</v>
      </c>
      <c r="H92" s="202">
        <f t="shared" si="31"/>
        <v>371500</v>
      </c>
      <c r="I92" s="202">
        <f t="shared" si="31"/>
        <v>0</v>
      </c>
      <c r="J92" s="202">
        <f t="shared" si="31"/>
        <v>190400</v>
      </c>
      <c r="K92" s="202">
        <f t="shared" si="31"/>
        <v>0</v>
      </c>
      <c r="L92" s="202">
        <f t="shared" si="31"/>
        <v>190400</v>
      </c>
      <c r="M92" s="202">
        <f t="shared" si="31"/>
        <v>134800</v>
      </c>
      <c r="N92" s="202">
        <f t="shared" si="31"/>
        <v>0</v>
      </c>
      <c r="O92" s="202">
        <f t="shared" si="31"/>
        <v>0</v>
      </c>
      <c r="P92" s="202">
        <f t="shared" si="31"/>
        <v>4271510</v>
      </c>
    </row>
    <row r="93" spans="1:16" s="122" customFormat="1" ht="36" customHeight="1">
      <c r="A93" s="5" t="s">
        <v>145</v>
      </c>
      <c r="B93" s="5" t="s">
        <v>146</v>
      </c>
      <c r="C93" s="5" t="s">
        <v>118</v>
      </c>
      <c r="D93" s="54" t="s">
        <v>339</v>
      </c>
      <c r="E93" s="53">
        <f>F93+I93</f>
        <v>4081110</v>
      </c>
      <c r="F93" s="53">
        <f>4059000+22110</f>
        <v>4081110</v>
      </c>
      <c r="G93" s="53">
        <f>3020100+18110</f>
        <v>3038210</v>
      </c>
      <c r="H93" s="53">
        <v>371500</v>
      </c>
      <c r="I93" s="53"/>
      <c r="J93" s="53">
        <f>L93+O93</f>
        <v>190400</v>
      </c>
      <c r="K93" s="53"/>
      <c r="L93" s="53">
        <v>190400</v>
      </c>
      <c r="M93" s="53">
        <v>134800</v>
      </c>
      <c r="N93" s="53"/>
      <c r="O93" s="53"/>
      <c r="P93" s="53">
        <f>J93+E93</f>
        <v>4271510</v>
      </c>
    </row>
    <row r="94" spans="1:16" s="122" customFormat="1" ht="36" customHeight="1">
      <c r="A94" s="201"/>
      <c r="B94" s="201" t="s">
        <v>289</v>
      </c>
      <c r="C94" s="201"/>
      <c r="D94" s="117" t="s">
        <v>249</v>
      </c>
      <c r="E94" s="202">
        <f>SUM(E95)</f>
        <v>12000</v>
      </c>
      <c r="F94" s="202">
        <f aca="true" t="shared" si="32" ref="F94:P94">SUM(F95)</f>
        <v>12000</v>
      </c>
      <c r="G94" s="202">
        <f t="shared" si="32"/>
        <v>0</v>
      </c>
      <c r="H94" s="202">
        <f t="shared" si="32"/>
        <v>0</v>
      </c>
      <c r="I94" s="202">
        <f t="shared" si="32"/>
        <v>0</v>
      </c>
      <c r="J94" s="202">
        <f t="shared" si="32"/>
        <v>0</v>
      </c>
      <c r="K94" s="202">
        <f t="shared" si="32"/>
        <v>0</v>
      </c>
      <c r="L94" s="202">
        <f t="shared" si="32"/>
        <v>0</v>
      </c>
      <c r="M94" s="202">
        <f t="shared" si="32"/>
        <v>0</v>
      </c>
      <c r="N94" s="202">
        <f t="shared" si="32"/>
        <v>0</v>
      </c>
      <c r="O94" s="202">
        <f t="shared" si="32"/>
        <v>0</v>
      </c>
      <c r="P94" s="202">
        <f t="shared" si="32"/>
        <v>12000</v>
      </c>
    </row>
    <row r="95" spans="1:16" s="122" customFormat="1" ht="52.5" customHeight="1">
      <c r="A95" s="5" t="s">
        <v>147</v>
      </c>
      <c r="B95" s="5" t="s">
        <v>148</v>
      </c>
      <c r="C95" s="5" t="s">
        <v>63</v>
      </c>
      <c r="D95" s="54" t="s">
        <v>149</v>
      </c>
      <c r="E95" s="53">
        <f>F95+I95</f>
        <v>12000</v>
      </c>
      <c r="F95" s="53">
        <v>12000</v>
      </c>
      <c r="G95" s="53"/>
      <c r="H95" s="53"/>
      <c r="I95" s="53"/>
      <c r="J95" s="53">
        <f aca="true" t="shared" si="33" ref="J95:J108">L95+O95</f>
        <v>0</v>
      </c>
      <c r="K95" s="53"/>
      <c r="L95" s="53"/>
      <c r="M95" s="53"/>
      <c r="N95" s="53"/>
      <c r="O95" s="53"/>
      <c r="P95" s="53">
        <f aca="true" t="shared" si="34" ref="P95:P108">J95+E95</f>
        <v>12000</v>
      </c>
    </row>
    <row r="96" spans="1:16" s="122" customFormat="1" ht="36" customHeight="1">
      <c r="A96" s="201"/>
      <c r="B96" s="201" t="s">
        <v>290</v>
      </c>
      <c r="C96" s="201"/>
      <c r="D96" s="117" t="s">
        <v>291</v>
      </c>
      <c r="E96" s="202">
        <f>SUM(E97:E101)</f>
        <v>15686259</v>
      </c>
      <c r="F96" s="202">
        <f aca="true" t="shared" si="35" ref="F96:P96">SUM(F97:F101)</f>
        <v>15686259</v>
      </c>
      <c r="G96" s="202">
        <f t="shared" si="35"/>
        <v>10723285</v>
      </c>
      <c r="H96" s="202">
        <f t="shared" si="35"/>
        <v>1839200</v>
      </c>
      <c r="I96" s="202">
        <f t="shared" si="35"/>
        <v>0</v>
      </c>
      <c r="J96" s="202">
        <f t="shared" si="35"/>
        <v>73000</v>
      </c>
      <c r="K96" s="202">
        <f t="shared" si="35"/>
        <v>55000</v>
      </c>
      <c r="L96" s="202">
        <f t="shared" si="35"/>
        <v>18000</v>
      </c>
      <c r="M96" s="202">
        <f t="shared" si="35"/>
        <v>0</v>
      </c>
      <c r="N96" s="202">
        <f t="shared" si="35"/>
        <v>0</v>
      </c>
      <c r="O96" s="202">
        <f t="shared" si="35"/>
        <v>55000</v>
      </c>
      <c r="P96" s="202">
        <f t="shared" si="35"/>
        <v>15759259</v>
      </c>
    </row>
    <row r="97" spans="1:16" s="122" customFormat="1" ht="32.25" customHeight="1">
      <c r="A97" s="5" t="s">
        <v>150</v>
      </c>
      <c r="B97" s="5" t="s">
        <v>151</v>
      </c>
      <c r="C97" s="5" t="s">
        <v>152</v>
      </c>
      <c r="D97" s="54" t="s">
        <v>153</v>
      </c>
      <c r="E97" s="53">
        <f>F97+I97</f>
        <v>5009574</v>
      </c>
      <c r="F97" s="53">
        <f>4755900+4664+249010</f>
        <v>5009574</v>
      </c>
      <c r="G97" s="53">
        <f>3485000+199210</f>
        <v>3684210</v>
      </c>
      <c r="H97" s="53">
        <v>380700</v>
      </c>
      <c r="I97" s="53"/>
      <c r="J97" s="53">
        <f t="shared" si="33"/>
        <v>0</v>
      </c>
      <c r="K97" s="53"/>
      <c r="L97" s="53"/>
      <c r="M97" s="53"/>
      <c r="N97" s="53"/>
      <c r="O97" s="53"/>
      <c r="P97" s="53">
        <f t="shared" si="34"/>
        <v>5009574</v>
      </c>
    </row>
    <row r="98" spans="1:16" s="122" customFormat="1" ht="32.25" customHeight="1">
      <c r="A98" s="5" t="s">
        <v>154</v>
      </c>
      <c r="B98" s="5" t="s">
        <v>155</v>
      </c>
      <c r="C98" s="5" t="s">
        <v>152</v>
      </c>
      <c r="D98" s="54" t="s">
        <v>156</v>
      </c>
      <c r="E98" s="53">
        <f aca="true" t="shared" si="36" ref="E98:E108">F98+I98</f>
        <v>430300</v>
      </c>
      <c r="F98" s="53">
        <v>430300</v>
      </c>
      <c r="G98" s="53">
        <v>245000</v>
      </c>
      <c r="H98" s="53">
        <v>128400</v>
      </c>
      <c r="I98" s="53"/>
      <c r="J98" s="53">
        <f t="shared" si="33"/>
        <v>0</v>
      </c>
      <c r="K98" s="53"/>
      <c r="L98" s="53"/>
      <c r="M98" s="53"/>
      <c r="N98" s="53"/>
      <c r="O98" s="53"/>
      <c r="P98" s="53">
        <f t="shared" si="34"/>
        <v>430300</v>
      </c>
    </row>
    <row r="99" spans="1:16" s="122" customFormat="1" ht="41.25" customHeight="1">
      <c r="A99" s="5" t="s">
        <v>157</v>
      </c>
      <c r="B99" s="5" t="s">
        <v>158</v>
      </c>
      <c r="C99" s="5" t="s">
        <v>159</v>
      </c>
      <c r="D99" s="54" t="s">
        <v>160</v>
      </c>
      <c r="E99" s="53">
        <f t="shared" si="36"/>
        <v>9119900</v>
      </c>
      <c r="F99" s="53">
        <f>8538600+57600+501700+22000</f>
        <v>9119900</v>
      </c>
      <c r="G99" s="53">
        <f>5654000+322200</f>
        <v>5976200</v>
      </c>
      <c r="H99" s="53">
        <v>1330100</v>
      </c>
      <c r="I99" s="53"/>
      <c r="J99" s="53">
        <f t="shared" si="33"/>
        <v>73000</v>
      </c>
      <c r="K99" s="53">
        <f>30000+25000</f>
        <v>55000</v>
      </c>
      <c r="L99" s="53">
        <v>18000</v>
      </c>
      <c r="M99" s="53"/>
      <c r="N99" s="53"/>
      <c r="O99" s="53">
        <f>30000+25000</f>
        <v>55000</v>
      </c>
      <c r="P99" s="53">
        <f t="shared" si="34"/>
        <v>9192900</v>
      </c>
    </row>
    <row r="100" spans="1:16" s="122" customFormat="1" ht="37.5" customHeight="1">
      <c r="A100" s="5" t="s">
        <v>161</v>
      </c>
      <c r="B100" s="5" t="s">
        <v>162</v>
      </c>
      <c r="C100" s="5" t="s">
        <v>163</v>
      </c>
      <c r="D100" s="54" t="s">
        <v>164</v>
      </c>
      <c r="E100" s="53">
        <f t="shared" si="36"/>
        <v>1034070</v>
      </c>
      <c r="F100" s="53">
        <f>1005800+5900+12830+9540</f>
        <v>1034070</v>
      </c>
      <c r="G100" s="53">
        <f>797800+4800+10530+4745</f>
        <v>817875</v>
      </c>
      <c r="H100" s="53"/>
      <c r="I100" s="53"/>
      <c r="J100" s="53">
        <f t="shared" si="33"/>
        <v>0</v>
      </c>
      <c r="K100" s="53"/>
      <c r="L100" s="53"/>
      <c r="M100" s="53"/>
      <c r="N100" s="53"/>
      <c r="O100" s="53"/>
      <c r="P100" s="53">
        <f t="shared" si="34"/>
        <v>1034070</v>
      </c>
    </row>
    <row r="101" spans="1:16" s="122" customFormat="1" ht="32.25" customHeight="1">
      <c r="A101" s="5" t="s">
        <v>165</v>
      </c>
      <c r="B101" s="5" t="s">
        <v>166</v>
      </c>
      <c r="C101" s="5" t="s">
        <v>163</v>
      </c>
      <c r="D101" s="54" t="s">
        <v>167</v>
      </c>
      <c r="E101" s="53">
        <f t="shared" si="36"/>
        <v>92415</v>
      </c>
      <c r="F101" s="53">
        <f>69000+23415</f>
        <v>92415</v>
      </c>
      <c r="G101" s="53"/>
      <c r="H101" s="53"/>
      <c r="I101" s="53"/>
      <c r="J101" s="53">
        <f t="shared" si="33"/>
        <v>0</v>
      </c>
      <c r="K101" s="53"/>
      <c r="L101" s="53"/>
      <c r="M101" s="53"/>
      <c r="N101" s="53"/>
      <c r="O101" s="53"/>
      <c r="P101" s="53">
        <f t="shared" si="34"/>
        <v>92415</v>
      </c>
    </row>
    <row r="102" spans="1:16" s="122" customFormat="1" ht="36" customHeight="1">
      <c r="A102" s="201"/>
      <c r="B102" s="201" t="s">
        <v>286</v>
      </c>
      <c r="C102" s="201"/>
      <c r="D102" s="117" t="s">
        <v>287</v>
      </c>
      <c r="E102" s="202">
        <f aca="true" t="shared" si="37" ref="E102:P102">SUM(E103:E108)</f>
        <v>2994333.11</v>
      </c>
      <c r="F102" s="202">
        <f t="shared" si="37"/>
        <v>2994333.11</v>
      </c>
      <c r="G102" s="202">
        <f t="shared" si="37"/>
        <v>2131380</v>
      </c>
      <c r="H102" s="202">
        <f t="shared" si="37"/>
        <v>63600</v>
      </c>
      <c r="I102" s="202">
        <f t="shared" si="37"/>
        <v>0</v>
      </c>
      <c r="J102" s="202">
        <f t="shared" si="37"/>
        <v>56000</v>
      </c>
      <c r="K102" s="202">
        <f t="shared" si="37"/>
        <v>56000</v>
      </c>
      <c r="L102" s="202">
        <f t="shared" si="37"/>
        <v>0</v>
      </c>
      <c r="M102" s="202">
        <f t="shared" si="37"/>
        <v>0</v>
      </c>
      <c r="N102" s="202">
        <f t="shared" si="37"/>
        <v>0</v>
      </c>
      <c r="O102" s="202">
        <f t="shared" si="37"/>
        <v>56000</v>
      </c>
      <c r="P102" s="202">
        <f t="shared" si="37"/>
        <v>3050333.11</v>
      </c>
    </row>
    <row r="103" spans="1:16" s="122" customFormat="1" ht="41.25" customHeight="1">
      <c r="A103" s="5" t="s">
        <v>168</v>
      </c>
      <c r="B103" s="5" t="s">
        <v>169</v>
      </c>
      <c r="C103" s="5" t="s">
        <v>140</v>
      </c>
      <c r="D103" s="54" t="s">
        <v>170</v>
      </c>
      <c r="E103" s="53">
        <f t="shared" si="36"/>
        <v>25000</v>
      </c>
      <c r="F103" s="53">
        <f>15000+10000</f>
        <v>25000</v>
      </c>
      <c r="G103" s="53"/>
      <c r="H103" s="53"/>
      <c r="I103" s="53"/>
      <c r="J103" s="53">
        <f t="shared" si="33"/>
        <v>0</v>
      </c>
      <c r="K103" s="53"/>
      <c r="L103" s="53"/>
      <c r="M103" s="53"/>
      <c r="N103" s="53"/>
      <c r="O103" s="53"/>
      <c r="P103" s="53">
        <f t="shared" si="34"/>
        <v>25000</v>
      </c>
    </row>
    <row r="104" spans="1:16" s="122" customFormat="1" ht="41.25" customHeight="1" hidden="1">
      <c r="A104" s="5" t="s">
        <v>171</v>
      </c>
      <c r="B104" s="5" t="s">
        <v>172</v>
      </c>
      <c r="C104" s="5" t="s">
        <v>140</v>
      </c>
      <c r="D104" s="54" t="s">
        <v>173</v>
      </c>
      <c r="E104" s="53">
        <f t="shared" si="36"/>
        <v>0</v>
      </c>
      <c r="F104" s="53">
        <f>1000-1000</f>
        <v>0</v>
      </c>
      <c r="G104" s="53"/>
      <c r="H104" s="53"/>
      <c r="I104" s="53"/>
      <c r="J104" s="53">
        <f t="shared" si="33"/>
        <v>0</v>
      </c>
      <c r="K104" s="53"/>
      <c r="L104" s="53"/>
      <c r="M104" s="53"/>
      <c r="N104" s="53"/>
      <c r="O104" s="53"/>
      <c r="P104" s="53">
        <f t="shared" si="34"/>
        <v>0</v>
      </c>
    </row>
    <row r="105" spans="1:16" s="122" customFormat="1" ht="34.5" customHeight="1">
      <c r="A105" s="5" t="s">
        <v>393</v>
      </c>
      <c r="B105" s="5" t="s">
        <v>139</v>
      </c>
      <c r="C105" s="5" t="s">
        <v>140</v>
      </c>
      <c r="D105" s="54" t="s">
        <v>141</v>
      </c>
      <c r="E105" s="53">
        <f t="shared" si="36"/>
        <v>1665460</v>
      </c>
      <c r="F105" s="53">
        <f>1502600+50000+168860-56000</f>
        <v>1665460</v>
      </c>
      <c r="G105" s="53">
        <f>1108700+138410</f>
        <v>1247110</v>
      </c>
      <c r="H105" s="53"/>
      <c r="I105" s="53"/>
      <c r="J105" s="53">
        <f t="shared" si="33"/>
        <v>56000</v>
      </c>
      <c r="K105" s="53">
        <f>56000</f>
        <v>56000</v>
      </c>
      <c r="L105" s="53"/>
      <c r="M105" s="53"/>
      <c r="N105" s="53"/>
      <c r="O105" s="53">
        <f>56000</f>
        <v>56000</v>
      </c>
      <c r="P105" s="53">
        <f t="shared" si="34"/>
        <v>1721460</v>
      </c>
    </row>
    <row r="106" spans="1:16" s="122" customFormat="1" ht="35.25" customHeight="1">
      <c r="A106" s="5" t="s">
        <v>174</v>
      </c>
      <c r="B106" s="5" t="s">
        <v>175</v>
      </c>
      <c r="C106" s="5" t="s">
        <v>140</v>
      </c>
      <c r="D106" s="54" t="s">
        <v>176</v>
      </c>
      <c r="E106" s="53">
        <f>F106+I106</f>
        <v>736331</v>
      </c>
      <c r="F106" s="53">
        <f>622900+41991+50000+21440</f>
        <v>736331</v>
      </c>
      <c r="G106" s="53">
        <f>479100+33220+18940</f>
        <v>531260</v>
      </c>
      <c r="H106" s="53">
        <v>63600</v>
      </c>
      <c r="I106" s="53"/>
      <c r="J106" s="53">
        <f>L106+O106</f>
        <v>0</v>
      </c>
      <c r="K106" s="53"/>
      <c r="L106" s="53"/>
      <c r="M106" s="53"/>
      <c r="N106" s="53"/>
      <c r="O106" s="53"/>
      <c r="P106" s="53">
        <f>J106+E106</f>
        <v>736331</v>
      </c>
    </row>
    <row r="107" spans="1:16" s="122" customFormat="1" ht="45" customHeight="1">
      <c r="A107" s="5" t="s">
        <v>18</v>
      </c>
      <c r="B107" s="5" t="s">
        <v>19</v>
      </c>
      <c r="C107" s="5" t="s">
        <v>140</v>
      </c>
      <c r="D107" s="54" t="s">
        <v>20</v>
      </c>
      <c r="E107" s="53">
        <f>F107+I107</f>
        <v>68662.11000000002</v>
      </c>
      <c r="F107" s="53">
        <f>88279.71-19617.6</f>
        <v>68662.11000000002</v>
      </c>
      <c r="G107" s="53">
        <f>72360-16080</f>
        <v>56280</v>
      </c>
      <c r="H107" s="53"/>
      <c r="I107" s="53"/>
      <c r="J107" s="53">
        <f>L107+O107</f>
        <v>0</v>
      </c>
      <c r="K107" s="53"/>
      <c r="L107" s="53"/>
      <c r="M107" s="53"/>
      <c r="N107" s="53"/>
      <c r="O107" s="53"/>
      <c r="P107" s="53">
        <f>J107+E107</f>
        <v>68662.11000000002</v>
      </c>
    </row>
    <row r="108" spans="1:16" s="122" customFormat="1" ht="64.5" customHeight="1">
      <c r="A108" s="5" t="s">
        <v>311</v>
      </c>
      <c r="B108" s="5" t="s">
        <v>312</v>
      </c>
      <c r="C108" s="5" t="s">
        <v>140</v>
      </c>
      <c r="D108" s="54" t="s">
        <v>313</v>
      </c>
      <c r="E108" s="53">
        <f t="shared" si="36"/>
        <v>498880</v>
      </c>
      <c r="F108" s="53">
        <f>418400-50000+41770+50000+12850+25860</f>
        <v>498880</v>
      </c>
      <c r="G108" s="53">
        <f>252000+34200+10530</f>
        <v>296730</v>
      </c>
      <c r="H108" s="53"/>
      <c r="I108" s="53"/>
      <c r="J108" s="53">
        <f t="shared" si="33"/>
        <v>0</v>
      </c>
      <c r="K108" s="53"/>
      <c r="L108" s="53"/>
      <c r="M108" s="53"/>
      <c r="N108" s="53"/>
      <c r="O108" s="53"/>
      <c r="P108" s="53">
        <f t="shared" si="34"/>
        <v>498880</v>
      </c>
    </row>
    <row r="109" spans="1:16" s="124" customFormat="1" ht="35.25" customHeight="1">
      <c r="A109" s="199" t="s">
        <v>177</v>
      </c>
      <c r="B109" s="199"/>
      <c r="C109" s="199"/>
      <c r="D109" s="200" t="s">
        <v>292</v>
      </c>
      <c r="E109" s="115">
        <f>E110</f>
        <v>6041900</v>
      </c>
      <c r="F109" s="115">
        <f aca="true" t="shared" si="38" ref="F109:P109">F110</f>
        <v>2195200</v>
      </c>
      <c r="G109" s="115">
        <f t="shared" si="38"/>
        <v>1755000</v>
      </c>
      <c r="H109" s="115">
        <f t="shared" si="38"/>
        <v>0</v>
      </c>
      <c r="I109" s="115">
        <f t="shared" si="38"/>
        <v>900000</v>
      </c>
      <c r="J109" s="115">
        <f t="shared" si="38"/>
        <v>92000</v>
      </c>
      <c r="K109" s="115">
        <f t="shared" si="38"/>
        <v>92000</v>
      </c>
      <c r="L109" s="115">
        <f t="shared" si="38"/>
        <v>0</v>
      </c>
      <c r="M109" s="115">
        <f t="shared" si="38"/>
        <v>0</v>
      </c>
      <c r="N109" s="115">
        <f t="shared" si="38"/>
        <v>0</v>
      </c>
      <c r="O109" s="115">
        <f t="shared" si="38"/>
        <v>92000</v>
      </c>
      <c r="P109" s="115">
        <f t="shared" si="38"/>
        <v>6133900</v>
      </c>
    </row>
    <row r="110" spans="1:16" s="124" customFormat="1" ht="35.25" customHeight="1">
      <c r="A110" s="199" t="s">
        <v>178</v>
      </c>
      <c r="B110" s="199"/>
      <c r="C110" s="199"/>
      <c r="D110" s="200" t="str">
        <f>D109</f>
        <v>Управління фінансів Тетіївської міської ради</v>
      </c>
      <c r="E110" s="115">
        <f>E111+E113+E115</f>
        <v>6041900</v>
      </c>
      <c r="F110" s="115">
        <f aca="true" t="shared" si="39" ref="F110:P110">F111+F113+F115</f>
        <v>2195200</v>
      </c>
      <c r="G110" s="115">
        <f t="shared" si="39"/>
        <v>1755000</v>
      </c>
      <c r="H110" s="115">
        <f t="shared" si="39"/>
        <v>0</v>
      </c>
      <c r="I110" s="115">
        <f t="shared" si="39"/>
        <v>900000</v>
      </c>
      <c r="J110" s="115">
        <f t="shared" si="39"/>
        <v>92000</v>
      </c>
      <c r="K110" s="115">
        <f t="shared" si="39"/>
        <v>92000</v>
      </c>
      <c r="L110" s="115">
        <f t="shared" si="39"/>
        <v>0</v>
      </c>
      <c r="M110" s="115">
        <f t="shared" si="39"/>
        <v>0</v>
      </c>
      <c r="N110" s="115">
        <f t="shared" si="39"/>
        <v>0</v>
      </c>
      <c r="O110" s="115">
        <f t="shared" si="39"/>
        <v>92000</v>
      </c>
      <c r="P110" s="115">
        <f t="shared" si="39"/>
        <v>6133900</v>
      </c>
    </row>
    <row r="111" spans="1:16" s="124" customFormat="1" ht="35.25" customHeight="1">
      <c r="A111" s="199"/>
      <c r="B111" s="199" t="s">
        <v>240</v>
      </c>
      <c r="C111" s="199"/>
      <c r="D111" s="200" t="s">
        <v>241</v>
      </c>
      <c r="E111" s="115">
        <f>SUM(E112)</f>
        <v>2145200</v>
      </c>
      <c r="F111" s="115">
        <f aca="true" t="shared" si="40" ref="F111:P111">SUM(F112)</f>
        <v>2145200</v>
      </c>
      <c r="G111" s="115">
        <f t="shared" si="40"/>
        <v>1755000</v>
      </c>
      <c r="H111" s="115">
        <f t="shared" si="40"/>
        <v>0</v>
      </c>
      <c r="I111" s="115">
        <f t="shared" si="40"/>
        <v>0</v>
      </c>
      <c r="J111" s="115">
        <f t="shared" si="40"/>
        <v>92000</v>
      </c>
      <c r="K111" s="115">
        <f t="shared" si="40"/>
        <v>92000</v>
      </c>
      <c r="L111" s="115">
        <f t="shared" si="40"/>
        <v>0</v>
      </c>
      <c r="M111" s="115">
        <f t="shared" si="40"/>
        <v>0</v>
      </c>
      <c r="N111" s="115">
        <f t="shared" si="40"/>
        <v>0</v>
      </c>
      <c r="O111" s="115">
        <f t="shared" si="40"/>
        <v>92000</v>
      </c>
      <c r="P111" s="115">
        <f t="shared" si="40"/>
        <v>2237200</v>
      </c>
    </row>
    <row r="112" spans="1:16" s="122" customFormat="1" ht="48" customHeight="1">
      <c r="A112" s="5" t="s">
        <v>179</v>
      </c>
      <c r="B112" s="5" t="s">
        <v>106</v>
      </c>
      <c r="C112" s="5" t="s">
        <v>45</v>
      </c>
      <c r="D112" s="54" t="s">
        <v>372</v>
      </c>
      <c r="E112" s="53">
        <f>F112+I112</f>
        <v>2145200</v>
      </c>
      <c r="F112" s="53">
        <f>2130200+15000</f>
        <v>2145200</v>
      </c>
      <c r="G112" s="53">
        <v>1755000</v>
      </c>
      <c r="H112" s="53"/>
      <c r="I112" s="53"/>
      <c r="J112" s="53">
        <f>L112+O112</f>
        <v>92000</v>
      </c>
      <c r="K112" s="53">
        <f>75762+16238</f>
        <v>92000</v>
      </c>
      <c r="L112" s="53"/>
      <c r="M112" s="53"/>
      <c r="N112" s="53"/>
      <c r="O112" s="53">
        <f>75762+16238</f>
        <v>92000</v>
      </c>
      <c r="P112" s="53">
        <f>J112+E112</f>
        <v>2237200</v>
      </c>
    </row>
    <row r="113" spans="1:16" s="122" customFormat="1" ht="39.75" customHeight="1">
      <c r="A113" s="201"/>
      <c r="B113" s="201" t="s">
        <v>272</v>
      </c>
      <c r="C113" s="201"/>
      <c r="D113" s="117" t="s">
        <v>273</v>
      </c>
      <c r="E113" s="202">
        <f>SUM(E114)</f>
        <v>2946700</v>
      </c>
      <c r="F113" s="202">
        <f aca="true" t="shared" si="41" ref="F113:P113">SUM(F114)</f>
        <v>0</v>
      </c>
      <c r="G113" s="202">
        <f t="shared" si="41"/>
        <v>0</v>
      </c>
      <c r="H113" s="202">
        <f t="shared" si="41"/>
        <v>0</v>
      </c>
      <c r="I113" s="202">
        <f t="shared" si="41"/>
        <v>0</v>
      </c>
      <c r="J113" s="202">
        <f t="shared" si="41"/>
        <v>0</v>
      </c>
      <c r="K113" s="202">
        <f t="shared" si="41"/>
        <v>0</v>
      </c>
      <c r="L113" s="202">
        <f t="shared" si="41"/>
        <v>0</v>
      </c>
      <c r="M113" s="202">
        <f t="shared" si="41"/>
        <v>0</v>
      </c>
      <c r="N113" s="202">
        <f t="shared" si="41"/>
        <v>0</v>
      </c>
      <c r="O113" s="202">
        <f t="shared" si="41"/>
        <v>0</v>
      </c>
      <c r="P113" s="202">
        <f t="shared" si="41"/>
        <v>2946700</v>
      </c>
    </row>
    <row r="114" spans="1:16" s="122" customFormat="1" ht="36" customHeight="1">
      <c r="A114" s="5" t="s">
        <v>180</v>
      </c>
      <c r="B114" s="5" t="s">
        <v>181</v>
      </c>
      <c r="C114" s="5" t="s">
        <v>50</v>
      </c>
      <c r="D114" s="54" t="s">
        <v>182</v>
      </c>
      <c r="E114" s="53">
        <f>5000000-2053300</f>
        <v>2946700</v>
      </c>
      <c r="F114" s="53"/>
      <c r="G114" s="53"/>
      <c r="H114" s="53"/>
      <c r="I114" s="53"/>
      <c r="J114" s="53">
        <f>L114+O114</f>
        <v>0</v>
      </c>
      <c r="K114" s="53">
        <f>952356-500000-126600-207562-63000-40246-14948</f>
        <v>0</v>
      </c>
      <c r="L114" s="53"/>
      <c r="M114" s="53"/>
      <c r="N114" s="53"/>
      <c r="O114" s="53">
        <f>952356-500000-126600-207562-63000-40246-14948</f>
        <v>0</v>
      </c>
      <c r="P114" s="53">
        <f>J114+E114</f>
        <v>2946700</v>
      </c>
    </row>
    <row r="115" spans="1:16" s="122" customFormat="1" ht="39.75" customHeight="1">
      <c r="A115" s="201"/>
      <c r="B115" s="201" t="s">
        <v>293</v>
      </c>
      <c r="C115" s="201"/>
      <c r="D115" s="117" t="s">
        <v>294</v>
      </c>
      <c r="E115" s="202">
        <f>SUM(E116:E117)</f>
        <v>950000</v>
      </c>
      <c r="F115" s="202">
        <f aca="true" t="shared" si="42" ref="F115:N115">SUM(F116:F117)</f>
        <v>50000</v>
      </c>
      <c r="G115" s="202">
        <f t="shared" si="42"/>
        <v>0</v>
      </c>
      <c r="H115" s="202">
        <f t="shared" si="42"/>
        <v>0</v>
      </c>
      <c r="I115" s="202">
        <f t="shared" si="42"/>
        <v>900000</v>
      </c>
      <c r="J115" s="202">
        <f t="shared" si="42"/>
        <v>0</v>
      </c>
      <c r="K115" s="202">
        <f t="shared" si="42"/>
        <v>0</v>
      </c>
      <c r="L115" s="202">
        <f t="shared" si="42"/>
        <v>0</v>
      </c>
      <c r="M115" s="202">
        <f t="shared" si="42"/>
        <v>0</v>
      </c>
      <c r="N115" s="202">
        <f t="shared" si="42"/>
        <v>0</v>
      </c>
      <c r="O115" s="202">
        <f>SUM(O116:O117)</f>
        <v>0</v>
      </c>
      <c r="P115" s="202">
        <f>SUM(P116:P117)</f>
        <v>950000</v>
      </c>
    </row>
    <row r="116" spans="1:16" s="122" customFormat="1" ht="36.75" customHeight="1">
      <c r="A116" s="5" t="s">
        <v>514</v>
      </c>
      <c r="B116" s="5" t="s">
        <v>515</v>
      </c>
      <c r="C116" s="5" t="s">
        <v>49</v>
      </c>
      <c r="D116" s="54" t="s">
        <v>381</v>
      </c>
      <c r="E116" s="53">
        <f>F116+I116</f>
        <v>50000</v>
      </c>
      <c r="F116" s="53">
        <v>50000</v>
      </c>
      <c r="G116" s="53"/>
      <c r="H116" s="53"/>
      <c r="I116" s="53"/>
      <c r="J116" s="53">
        <f>L116+O116</f>
        <v>0</v>
      </c>
      <c r="K116" s="53"/>
      <c r="L116" s="53"/>
      <c r="M116" s="53"/>
      <c r="N116" s="53"/>
      <c r="O116" s="53"/>
      <c r="P116" s="53">
        <f>J116+E116</f>
        <v>50000</v>
      </c>
    </row>
    <row r="117" spans="1:16" s="122" customFormat="1" ht="36.75" customHeight="1">
      <c r="A117" s="5" t="s">
        <v>340</v>
      </c>
      <c r="B117" s="5" t="s">
        <v>341</v>
      </c>
      <c r="C117" s="5" t="s">
        <v>49</v>
      </c>
      <c r="D117" s="54" t="s">
        <v>342</v>
      </c>
      <c r="E117" s="53">
        <f>F117+I117</f>
        <v>900000</v>
      </c>
      <c r="F117" s="53"/>
      <c r="G117" s="53"/>
      <c r="H117" s="53"/>
      <c r="I117" s="53">
        <v>900000</v>
      </c>
      <c r="J117" s="53">
        <f>L117+O117</f>
        <v>0</v>
      </c>
      <c r="K117" s="53"/>
      <c r="L117" s="53"/>
      <c r="M117" s="53"/>
      <c r="N117" s="53"/>
      <c r="O117" s="53"/>
      <c r="P117" s="53">
        <f>J117+E117</f>
        <v>900000</v>
      </c>
    </row>
    <row r="118" spans="1:16" s="122" customFormat="1" ht="31.5" customHeight="1">
      <c r="A118" s="120" t="s">
        <v>1</v>
      </c>
      <c r="B118" s="120" t="s">
        <v>1</v>
      </c>
      <c r="C118" s="120" t="s">
        <v>1</v>
      </c>
      <c r="D118" s="120" t="s">
        <v>183</v>
      </c>
      <c r="E118" s="115">
        <f aca="true" t="shared" si="43" ref="E118:P118">E16+E51+E88+E109+E72</f>
        <v>318023954.11</v>
      </c>
      <c r="F118" s="115">
        <f t="shared" si="43"/>
        <v>285574299.11</v>
      </c>
      <c r="G118" s="115">
        <f t="shared" si="43"/>
        <v>191146756</v>
      </c>
      <c r="H118" s="115">
        <f t="shared" si="43"/>
        <v>26699675</v>
      </c>
      <c r="I118" s="115">
        <f t="shared" si="43"/>
        <v>29502955</v>
      </c>
      <c r="J118" s="115">
        <f t="shared" si="43"/>
        <v>23569970.759999998</v>
      </c>
      <c r="K118" s="115">
        <f t="shared" si="43"/>
        <v>18401784.759999998</v>
      </c>
      <c r="L118" s="115">
        <f t="shared" si="43"/>
        <v>5068186</v>
      </c>
      <c r="M118" s="115">
        <f t="shared" si="43"/>
        <v>134800</v>
      </c>
      <c r="N118" s="115">
        <f t="shared" si="43"/>
        <v>0</v>
      </c>
      <c r="O118" s="115">
        <f t="shared" si="43"/>
        <v>18501784.759999998</v>
      </c>
      <c r="P118" s="115">
        <f t="shared" si="43"/>
        <v>341593924.87</v>
      </c>
    </row>
    <row r="120" spans="1:16" s="129" customFormat="1" ht="52.5" customHeight="1">
      <c r="A120" s="397" t="str">
        <f>додаток1!A132</f>
        <v>Секретар міської ради                                                                        Наталія  ІВАНЮТА</v>
      </c>
      <c r="B120" s="397"/>
      <c r="C120" s="397"/>
      <c r="D120" s="397"/>
      <c r="E120" s="397"/>
      <c r="F120" s="397"/>
      <c r="G120" s="397"/>
      <c r="H120" s="397"/>
      <c r="I120" s="397"/>
      <c r="J120" s="397"/>
      <c r="K120" s="397"/>
      <c r="L120" s="397"/>
      <c r="M120" s="397"/>
      <c r="N120" s="397"/>
      <c r="O120" s="397"/>
      <c r="P120" s="397"/>
    </row>
    <row r="123" spans="1:16" s="148" customFormat="1" ht="21">
      <c r="A123" s="146"/>
      <c r="B123" s="147"/>
      <c r="C123" s="147"/>
      <c r="D123" s="148" t="s">
        <v>295</v>
      </c>
      <c r="E123" s="149">
        <f>додаток1!D130+'Додаток 2'!D15-'Додаток 3'!E118</f>
        <v>0</v>
      </c>
      <c r="F123" s="150"/>
      <c r="G123" s="150"/>
      <c r="H123" s="150"/>
      <c r="I123" s="150"/>
      <c r="J123" s="149">
        <f>додаток1!E130+'Додаток 2'!E15-'Додаток 3'!J118</f>
        <v>0</v>
      </c>
      <c r="K123" s="150"/>
      <c r="L123" s="150"/>
      <c r="M123" s="150"/>
      <c r="N123" s="150"/>
      <c r="O123" s="150">
        <v>0</v>
      </c>
      <c r="P123" s="150">
        <f>додаток1!C130+'Додаток 2'!C15-'Додаток 3'!P118</f>
        <v>0</v>
      </c>
    </row>
  </sheetData>
  <sheetProtection/>
  <mergeCells count="30">
    <mergeCell ref="L6:P6"/>
    <mergeCell ref="A120:P120"/>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55"/>
  <sheetViews>
    <sheetView showZeros="0" zoomScale="80" zoomScaleNormal="80" zoomScalePageLayoutView="0" workbookViewId="0" topLeftCell="E1">
      <selection activeCell="E3" sqref="A3:IV5"/>
    </sheetView>
  </sheetViews>
  <sheetFormatPr defaultColWidth="8.875" defaultRowHeight="12.75"/>
  <cols>
    <col min="1" max="1" width="14.00390625" style="4" customWidth="1"/>
    <col min="2" max="2" width="15.75390625" style="4" customWidth="1"/>
    <col min="3" max="3" width="15.875" style="4" customWidth="1"/>
    <col min="4" max="4" width="39.125" style="4" customWidth="1"/>
    <col min="5" max="5" width="12.375" style="4" customWidth="1"/>
    <col min="6" max="6" width="10.25390625" style="4" customWidth="1"/>
    <col min="7" max="7" width="11.625" style="4" customWidth="1"/>
    <col min="8" max="8" width="11.75390625" style="4" customWidth="1"/>
    <col min="9" max="9" width="12.625" style="4" customWidth="1"/>
    <col min="10" max="10" width="9.75390625" style="4" bestFit="1" customWidth="1"/>
    <col min="11" max="11" width="11.875" style="4" customWidth="1"/>
    <col min="12" max="12" width="11.625" style="4" customWidth="1"/>
    <col min="13" max="13" width="12.25390625" style="4" customWidth="1"/>
    <col min="14" max="14" width="11.75390625" style="4" customWidth="1"/>
    <col min="15" max="15" width="9.25390625" style="4" bestFit="1" customWidth="1"/>
    <col min="16" max="16" width="10.875" style="4" customWidth="1"/>
    <col min="17" max="16384" width="8.875" style="4" customWidth="1"/>
  </cols>
  <sheetData>
    <row r="1" spans="12:16" ht="15">
      <c r="L1" s="402" t="s">
        <v>184</v>
      </c>
      <c r="M1" s="402"/>
      <c r="N1" s="402"/>
      <c r="O1" s="402"/>
      <c r="P1" s="402"/>
    </row>
    <row r="2" spans="10:16" ht="15">
      <c r="J2" s="47"/>
      <c r="K2" s="47"/>
      <c r="L2" s="402" t="str">
        <f>додаток1!D2</f>
        <v>до рішення сімнадцятої сесії Тетіївської міської ради</v>
      </c>
      <c r="M2" s="402"/>
      <c r="N2" s="402"/>
      <c r="O2" s="402"/>
      <c r="P2" s="402"/>
    </row>
    <row r="3" spans="12:16" ht="29.25" customHeight="1">
      <c r="L3" s="403" t="str">
        <f>додаток1!D3</f>
        <v>"Про бюджет Тетіївської міської територіальної громади на 2023 рік" від 20.12.2022 № 772-17-VIII</v>
      </c>
      <c r="M3" s="403"/>
      <c r="N3" s="403"/>
      <c r="O3" s="403"/>
      <c r="P3" s="403"/>
    </row>
    <row r="4" spans="12:16" ht="31.5" customHeight="1">
      <c r="L4" s="403" t="str">
        <f>додаток1!D4</f>
        <v>(в редакції рішення двадцять другої сесії Тетіївської міської ради від 01.08.2023 № 978-22-VIII)</v>
      </c>
      <c r="M4" s="403"/>
      <c r="N4" s="403"/>
      <c r="O4" s="403"/>
      <c r="P4" s="403"/>
    </row>
    <row r="5" spans="12:16" ht="27" customHeight="1">
      <c r="L5" s="404">
        <f>додаток1!C5</f>
        <v>0</v>
      </c>
      <c r="M5" s="404"/>
      <c r="N5" s="404"/>
      <c r="O5" s="404"/>
      <c r="P5" s="404"/>
    </row>
    <row r="6" spans="1:16" ht="27" customHeight="1">
      <c r="A6" s="405" t="s">
        <v>409</v>
      </c>
      <c r="B6" s="405"/>
      <c r="C6" s="405"/>
      <c r="D6" s="405"/>
      <c r="E6" s="405"/>
      <c r="F6" s="405"/>
      <c r="G6" s="405"/>
      <c r="H6" s="405"/>
      <c r="I6" s="405"/>
      <c r="J6" s="405"/>
      <c r="K6" s="405"/>
      <c r="L6" s="405"/>
      <c r="M6" s="405"/>
      <c r="N6" s="405"/>
      <c r="O6" s="405"/>
      <c r="P6" s="405"/>
    </row>
    <row r="8" spans="1:2" ht="15">
      <c r="A8" s="406">
        <f>додаток1!A8</f>
        <v>1050800000</v>
      </c>
      <c r="B8" s="406"/>
    </row>
    <row r="9" spans="1:2" ht="12.75">
      <c r="A9" s="407" t="s">
        <v>455</v>
      </c>
      <c r="B9" s="407"/>
    </row>
    <row r="10" ht="15">
      <c r="P10" s="3" t="s">
        <v>456</v>
      </c>
    </row>
    <row r="11" spans="1:17" s="1" customFormat="1" ht="23.25" customHeight="1">
      <c r="A11" s="414" t="s">
        <v>27</v>
      </c>
      <c r="B11" s="417" t="s">
        <v>28</v>
      </c>
      <c r="C11" s="418" t="s">
        <v>29</v>
      </c>
      <c r="D11" s="418" t="s">
        <v>30</v>
      </c>
      <c r="E11" s="408" t="s">
        <v>185</v>
      </c>
      <c r="F11" s="408"/>
      <c r="G11" s="408"/>
      <c r="H11" s="408"/>
      <c r="I11" s="408" t="s">
        <v>186</v>
      </c>
      <c r="J11" s="408"/>
      <c r="K11" s="408"/>
      <c r="L11" s="408"/>
      <c r="M11" s="408" t="s">
        <v>187</v>
      </c>
      <c r="N11" s="408"/>
      <c r="O11" s="408"/>
      <c r="P11" s="408"/>
      <c r="Q11" s="50"/>
    </row>
    <row r="12" spans="1:17" s="1" customFormat="1" ht="33" customHeight="1">
      <c r="A12" s="415"/>
      <c r="B12" s="417"/>
      <c r="C12" s="418"/>
      <c r="D12" s="418"/>
      <c r="E12" s="411" t="s">
        <v>460</v>
      </c>
      <c r="F12" s="409" t="s">
        <v>188</v>
      </c>
      <c r="G12" s="410"/>
      <c r="H12" s="411" t="s">
        <v>5</v>
      </c>
      <c r="I12" s="411" t="s">
        <v>460</v>
      </c>
      <c r="J12" s="409" t="s">
        <v>188</v>
      </c>
      <c r="K12" s="410"/>
      <c r="L12" s="411" t="s">
        <v>5</v>
      </c>
      <c r="M12" s="411" t="s">
        <v>460</v>
      </c>
      <c r="N12" s="409" t="s">
        <v>188</v>
      </c>
      <c r="O12" s="410"/>
      <c r="P12" s="411" t="s">
        <v>5</v>
      </c>
      <c r="Q12" s="50"/>
    </row>
    <row r="13" spans="1:17" s="1" customFormat="1" ht="13.5" customHeight="1">
      <c r="A13" s="415"/>
      <c r="B13" s="417"/>
      <c r="C13" s="418"/>
      <c r="D13" s="418"/>
      <c r="E13" s="411"/>
      <c r="F13" s="412" t="s">
        <v>459</v>
      </c>
      <c r="G13" s="412" t="s">
        <v>189</v>
      </c>
      <c r="H13" s="411"/>
      <c r="I13" s="411"/>
      <c r="J13" s="412" t="s">
        <v>459</v>
      </c>
      <c r="K13" s="412" t="s">
        <v>189</v>
      </c>
      <c r="L13" s="411"/>
      <c r="M13" s="411"/>
      <c r="N13" s="412" t="s">
        <v>459</v>
      </c>
      <c r="O13" s="412" t="s">
        <v>189</v>
      </c>
      <c r="P13" s="411"/>
      <c r="Q13" s="50"/>
    </row>
    <row r="14" spans="1:17" s="1" customFormat="1" ht="96" customHeight="1">
      <c r="A14" s="416"/>
      <c r="B14" s="417"/>
      <c r="C14" s="418"/>
      <c r="D14" s="418"/>
      <c r="E14" s="411"/>
      <c r="F14" s="413"/>
      <c r="G14" s="413"/>
      <c r="H14" s="411"/>
      <c r="I14" s="411"/>
      <c r="J14" s="413"/>
      <c r="K14" s="413"/>
      <c r="L14" s="411"/>
      <c r="M14" s="411"/>
      <c r="N14" s="413"/>
      <c r="O14" s="413"/>
      <c r="P14" s="411"/>
      <c r="Q14" s="50"/>
    </row>
    <row r="15" spans="1:17" s="1" customFormat="1" ht="14.25" customHeight="1">
      <c r="A15" s="30">
        <v>1</v>
      </c>
      <c r="B15" s="8">
        <v>2</v>
      </c>
      <c r="C15" s="30">
        <v>3</v>
      </c>
      <c r="D15" s="30">
        <v>4</v>
      </c>
      <c r="E15" s="30">
        <v>5</v>
      </c>
      <c r="F15" s="30">
        <v>6</v>
      </c>
      <c r="G15" s="30">
        <v>7</v>
      </c>
      <c r="H15" s="30">
        <v>8</v>
      </c>
      <c r="I15" s="30">
        <v>9</v>
      </c>
      <c r="J15" s="30">
        <v>10</v>
      </c>
      <c r="K15" s="30">
        <v>11</v>
      </c>
      <c r="L15" s="30">
        <v>12</v>
      </c>
      <c r="M15" s="30">
        <v>13</v>
      </c>
      <c r="N15" s="30">
        <v>14</v>
      </c>
      <c r="O15" s="30">
        <v>15</v>
      </c>
      <c r="P15" s="30">
        <v>16</v>
      </c>
      <c r="Q15" s="50"/>
    </row>
    <row r="16" spans="1:19" ht="19.5" customHeight="1">
      <c r="A16" s="31"/>
      <c r="B16" s="32"/>
      <c r="C16" s="32"/>
      <c r="D16" s="33"/>
      <c r="E16" s="34"/>
      <c r="F16" s="34"/>
      <c r="G16" s="34"/>
      <c r="H16" s="34"/>
      <c r="I16" s="34"/>
      <c r="J16" s="34"/>
      <c r="K16" s="34"/>
      <c r="L16" s="34"/>
      <c r="M16" s="34"/>
      <c r="N16" s="34"/>
      <c r="O16" s="34"/>
      <c r="P16" s="34"/>
      <c r="Q16" s="51"/>
      <c r="S16" s="49"/>
    </row>
    <row r="17" spans="1:19" ht="19.5" customHeight="1" hidden="1">
      <c r="A17" s="31"/>
      <c r="B17" s="31"/>
      <c r="C17" s="31"/>
      <c r="D17" s="35"/>
      <c r="E17" s="36"/>
      <c r="F17" s="36"/>
      <c r="G17" s="36"/>
      <c r="H17" s="34"/>
      <c r="I17" s="36"/>
      <c r="J17" s="36"/>
      <c r="K17" s="36"/>
      <c r="L17" s="39"/>
      <c r="M17" s="48"/>
      <c r="N17" s="48"/>
      <c r="O17" s="48"/>
      <c r="P17" s="48"/>
      <c r="Q17" s="51"/>
      <c r="S17" s="49"/>
    </row>
    <row r="18" spans="1:19" ht="19.5" customHeight="1" hidden="1">
      <c r="A18" s="31"/>
      <c r="B18" s="31"/>
      <c r="C18" s="31"/>
      <c r="D18" s="35"/>
      <c r="E18" s="36"/>
      <c r="F18" s="36"/>
      <c r="G18" s="36"/>
      <c r="H18" s="34"/>
      <c r="I18" s="36"/>
      <c r="J18" s="36"/>
      <c r="K18" s="36"/>
      <c r="L18" s="39"/>
      <c r="M18" s="48"/>
      <c r="N18" s="48"/>
      <c r="O18" s="48"/>
      <c r="P18" s="48"/>
      <c r="Q18" s="51"/>
      <c r="S18" s="49"/>
    </row>
    <row r="19" spans="1:17" s="28" customFormat="1" ht="19.5" customHeight="1" hidden="1">
      <c r="A19" s="31"/>
      <c r="B19" s="32"/>
      <c r="C19" s="32"/>
      <c r="D19" s="37"/>
      <c r="E19" s="34"/>
      <c r="F19" s="34"/>
      <c r="G19" s="34"/>
      <c r="H19" s="34"/>
      <c r="I19" s="34"/>
      <c r="J19" s="34"/>
      <c r="K19" s="34"/>
      <c r="L19" s="34"/>
      <c r="M19" s="34"/>
      <c r="N19" s="34"/>
      <c r="O19" s="34"/>
      <c r="P19" s="34"/>
      <c r="Q19" s="52"/>
    </row>
    <row r="20" spans="1:17" ht="19.5" customHeight="1" hidden="1">
      <c r="A20" s="31"/>
      <c r="B20" s="31"/>
      <c r="C20" s="31"/>
      <c r="D20" s="38"/>
      <c r="E20" s="39"/>
      <c r="F20" s="39"/>
      <c r="G20" s="39"/>
      <c r="H20" s="39"/>
      <c r="I20" s="39"/>
      <c r="J20" s="39"/>
      <c r="K20" s="39"/>
      <c r="L20" s="39"/>
      <c r="M20" s="34"/>
      <c r="N20" s="34"/>
      <c r="O20" s="34"/>
      <c r="P20" s="34"/>
      <c r="Q20" s="51"/>
    </row>
    <row r="21" spans="1:17" ht="19.5" customHeight="1" hidden="1">
      <c r="A21" s="31"/>
      <c r="B21" s="31"/>
      <c r="C21" s="31"/>
      <c r="D21" s="38"/>
      <c r="E21" s="36"/>
      <c r="F21" s="39"/>
      <c r="G21" s="39"/>
      <c r="H21" s="39"/>
      <c r="I21" s="39"/>
      <c r="J21" s="39"/>
      <c r="K21" s="39"/>
      <c r="L21" s="39"/>
      <c r="M21" s="34"/>
      <c r="N21" s="34"/>
      <c r="O21" s="34"/>
      <c r="P21" s="34"/>
      <c r="Q21" s="51"/>
    </row>
    <row r="22" spans="1:17" ht="19.5" customHeight="1" hidden="1">
      <c r="A22" s="31"/>
      <c r="B22" s="31"/>
      <c r="C22" s="31"/>
      <c r="D22" s="38"/>
      <c r="E22" s="39"/>
      <c r="F22" s="39"/>
      <c r="G22" s="39"/>
      <c r="H22" s="39"/>
      <c r="I22" s="39"/>
      <c r="J22" s="39"/>
      <c r="K22" s="39"/>
      <c r="L22" s="39"/>
      <c r="M22" s="34"/>
      <c r="N22" s="34"/>
      <c r="O22" s="34"/>
      <c r="P22" s="34"/>
      <c r="Q22" s="51"/>
    </row>
    <row r="23" spans="1:16" s="29" customFormat="1" ht="20.25" customHeight="1">
      <c r="A23" s="40" t="s">
        <v>1</v>
      </c>
      <c r="B23" s="40" t="s">
        <v>1</v>
      </c>
      <c r="C23" s="40" t="s">
        <v>1</v>
      </c>
      <c r="D23" s="41" t="s">
        <v>183</v>
      </c>
      <c r="E23" s="34">
        <v>0</v>
      </c>
      <c r="F23" s="34">
        <f aca="true" t="shared" si="0" ref="F23:P23">F19+F16</f>
        <v>0</v>
      </c>
      <c r="G23" s="34">
        <f t="shared" si="0"/>
        <v>0</v>
      </c>
      <c r="H23" s="34">
        <f t="shared" si="0"/>
        <v>0</v>
      </c>
      <c r="I23" s="34">
        <f t="shared" si="0"/>
        <v>0</v>
      </c>
      <c r="J23" s="34">
        <f t="shared" si="0"/>
        <v>0</v>
      </c>
      <c r="K23" s="34">
        <f t="shared" si="0"/>
        <v>0</v>
      </c>
      <c r="L23" s="34">
        <f t="shared" si="0"/>
        <v>0</v>
      </c>
      <c r="M23" s="34">
        <f t="shared" si="0"/>
        <v>0</v>
      </c>
      <c r="N23" s="34">
        <f t="shared" si="0"/>
        <v>0</v>
      </c>
      <c r="O23" s="34">
        <f t="shared" si="0"/>
        <v>0</v>
      </c>
      <c r="P23" s="34">
        <f t="shared" si="0"/>
        <v>0</v>
      </c>
    </row>
    <row r="25" spans="4:12" ht="17.25">
      <c r="D25" s="42" t="s">
        <v>193</v>
      </c>
      <c r="E25" s="43"/>
      <c r="F25" s="43"/>
      <c r="G25" s="43"/>
      <c r="H25" s="43"/>
      <c r="I25" s="42"/>
      <c r="J25" s="42"/>
      <c r="K25" s="42"/>
      <c r="L25" s="42"/>
    </row>
    <row r="26" spans="5:16" ht="12.75">
      <c r="E26" s="44"/>
      <c r="F26" s="45"/>
      <c r="G26" s="45"/>
      <c r="H26" s="45"/>
      <c r="I26" s="49"/>
      <c r="J26" s="49"/>
      <c r="K26" s="49"/>
      <c r="L26" s="49"/>
      <c r="M26" s="49"/>
      <c r="N26" s="49"/>
      <c r="O26" s="49"/>
      <c r="P26" s="49"/>
    </row>
    <row r="27" spans="3:11" ht="23.25" customHeight="1">
      <c r="C27" s="419" t="str">
        <f>додаток1!A132</f>
        <v>Секретар міської ради                                                                        Наталія  ІВАНЮТА</v>
      </c>
      <c r="D27" s="419"/>
      <c r="E27" s="419"/>
      <c r="F27" s="419"/>
      <c r="G27" s="419"/>
      <c r="H27" s="419"/>
      <c r="I27" s="419"/>
      <c r="J27" s="419"/>
      <c r="K27" s="419"/>
    </row>
    <row r="28" spans="5:8" ht="12.75">
      <c r="E28" s="44"/>
      <c r="F28" s="44"/>
      <c r="G28" s="44"/>
      <c r="H28" s="44"/>
    </row>
    <row r="29" spans="5:8" ht="12.75">
      <c r="E29" s="44"/>
      <c r="F29" s="44"/>
      <c r="G29" s="44"/>
      <c r="H29" s="44"/>
    </row>
    <row r="55" ht="12.75">
      <c r="G55" s="46"/>
    </row>
  </sheetData>
  <sheetProtection/>
  <mergeCells count="31">
    <mergeCell ref="C27:K27"/>
    <mergeCell ref="G13:G14"/>
    <mergeCell ref="H12:H14"/>
    <mergeCell ref="I12:I14"/>
    <mergeCell ref="K13:K14"/>
    <mergeCell ref="L12:L14"/>
    <mergeCell ref="A11:A14"/>
    <mergeCell ref="B11:B14"/>
    <mergeCell ref="C11:C14"/>
    <mergeCell ref="D11:D14"/>
    <mergeCell ref="E11:H11"/>
    <mergeCell ref="I11:L11"/>
    <mergeCell ref="E12:E14"/>
    <mergeCell ref="M11:P11"/>
    <mergeCell ref="F12:G12"/>
    <mergeCell ref="J12:K12"/>
    <mergeCell ref="N12:O12"/>
    <mergeCell ref="P12:P14"/>
    <mergeCell ref="J13:J14"/>
    <mergeCell ref="F13:F14"/>
    <mergeCell ref="O13:O14"/>
    <mergeCell ref="M12:M14"/>
    <mergeCell ref="N13:N14"/>
    <mergeCell ref="L5:P5"/>
    <mergeCell ref="A6:P6"/>
    <mergeCell ref="A8:B8"/>
    <mergeCell ref="A9:B9"/>
    <mergeCell ref="L1:P1"/>
    <mergeCell ref="L2:P2"/>
    <mergeCell ref="L3:P3"/>
    <mergeCell ref="L4:P4"/>
  </mergeCells>
  <printOptions/>
  <pageMargins left="0.51" right="0.27" top="0.65" bottom="0.23999999999999996"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IV102"/>
  <sheetViews>
    <sheetView zoomScale="110" zoomScaleNormal="110" workbookViewId="0" topLeftCell="C1">
      <pane xSplit="14928" topLeftCell="F3" activePane="topLeft" state="split"/>
      <selection pane="topLeft" activeCell="C62" sqref="C62:E62"/>
      <selection pane="topRight" activeCell="F28" sqref="F28"/>
    </sheetView>
  </sheetViews>
  <sheetFormatPr defaultColWidth="10.625" defaultRowHeight="12.75"/>
  <cols>
    <col min="1" max="1" width="19.75390625" style="85" customWidth="1"/>
    <col min="2" max="2" width="22.25390625" style="86" customWidth="1"/>
    <col min="3" max="3" width="16.625" style="86" customWidth="1"/>
    <col min="4" max="4" width="17.625" style="86" customWidth="1"/>
    <col min="5" max="5" width="34.875" style="86" customWidth="1"/>
    <col min="6" max="6" width="18.125" style="86" customWidth="1"/>
    <col min="7" max="7" width="18.75390625" style="86" customWidth="1"/>
    <col min="8" max="8" width="9.125" style="86" bestFit="1" customWidth="1"/>
    <col min="9" max="255" width="9.125" style="86" customWidth="1"/>
    <col min="256" max="16384" width="10.625" style="86" customWidth="1"/>
  </cols>
  <sheetData>
    <row r="1" spans="4:6" ht="15">
      <c r="D1" s="87"/>
      <c r="E1" s="450" t="s">
        <v>194</v>
      </c>
      <c r="F1" s="450"/>
    </row>
    <row r="2" spans="4:6" ht="15">
      <c r="D2" s="87"/>
      <c r="E2" s="450" t="str">
        <f>додаток1!D2</f>
        <v>до рішення сімнадцятої сесії Тетіївської міської ради</v>
      </c>
      <c r="F2" s="450"/>
    </row>
    <row r="3" spans="4:6" ht="31.5" customHeight="1">
      <c r="D3" s="88"/>
      <c r="E3" s="439" t="str">
        <f>додаток1!D3</f>
        <v>"Про бюджет Тетіївської міської територіальної громади на 2023 рік" від 20.12.2022 № 772-17-VIII</v>
      </c>
      <c r="F3" s="439"/>
    </row>
    <row r="4" spans="4:8" ht="28.5" customHeight="1">
      <c r="D4" s="113"/>
      <c r="E4" s="439" t="str">
        <f>додаток1!D4</f>
        <v>(в редакції рішення двадцять другої сесії Тетіївської міської ради від 01.08.2023 № 978-22-VIII)</v>
      </c>
      <c r="F4" s="440"/>
      <c r="G4" s="89"/>
      <c r="H4" s="89"/>
    </row>
    <row r="5" spans="3:8" ht="15">
      <c r="C5" s="451"/>
      <c r="D5" s="451"/>
      <c r="E5" s="451"/>
      <c r="F5" s="451"/>
      <c r="G5" s="89"/>
      <c r="H5" s="89"/>
    </row>
    <row r="6" spans="1:6" s="91" customFormat="1" ht="24" customHeight="1">
      <c r="A6" s="438" t="s">
        <v>410</v>
      </c>
      <c r="B6" s="438"/>
      <c r="C6" s="438"/>
      <c r="D6" s="438"/>
      <c r="E6" s="438"/>
      <c r="F6" s="438"/>
    </row>
    <row r="7" spans="1:6" s="91" customFormat="1" ht="15.75" customHeight="1">
      <c r="A7" s="92">
        <f>додаток1!A8</f>
        <v>1050800000</v>
      </c>
      <c r="B7" s="90"/>
      <c r="C7" s="90"/>
      <c r="D7" s="93"/>
      <c r="E7" s="93"/>
      <c r="F7" s="93"/>
    </row>
    <row r="8" spans="1:6" s="91" customFormat="1" ht="15.75" customHeight="1">
      <c r="A8" s="94" t="s">
        <v>455</v>
      </c>
      <c r="B8" s="90"/>
      <c r="C8" s="90"/>
      <c r="D8" s="93"/>
      <c r="E8" s="93"/>
      <c r="F8" s="93"/>
    </row>
    <row r="9" spans="1:6" s="91" customFormat="1" ht="15.75" customHeight="1">
      <c r="A9" s="94"/>
      <c r="B9" s="90"/>
      <c r="C9" s="90"/>
      <c r="D9" s="93"/>
      <c r="E9" s="93"/>
      <c r="F9" s="93"/>
    </row>
    <row r="10" spans="1:6" s="91" customFormat="1" ht="15.75" customHeight="1">
      <c r="A10" s="441" t="s">
        <v>195</v>
      </c>
      <c r="B10" s="441"/>
      <c r="C10" s="441"/>
      <c r="D10" s="441"/>
      <c r="E10" s="441"/>
      <c r="F10" s="441"/>
    </row>
    <row r="11" spans="1:6" s="96" customFormat="1" ht="15.75" customHeight="1">
      <c r="A11" s="95"/>
      <c r="F11" s="97" t="s">
        <v>456</v>
      </c>
    </row>
    <row r="12" spans="1:6" s="68" customFormat="1" ht="33.75" customHeight="1">
      <c r="A12" s="445" t="s">
        <v>196</v>
      </c>
      <c r="B12" s="449" t="s">
        <v>197</v>
      </c>
      <c r="C12" s="449"/>
      <c r="D12" s="449"/>
      <c r="E12" s="449"/>
      <c r="F12" s="447" t="s">
        <v>459</v>
      </c>
    </row>
    <row r="13" spans="1:6" s="69" customFormat="1" ht="15.75" customHeight="1">
      <c r="A13" s="446"/>
      <c r="B13" s="449"/>
      <c r="C13" s="449"/>
      <c r="D13" s="449"/>
      <c r="E13" s="449"/>
      <c r="F13" s="448"/>
    </row>
    <row r="14" spans="1:6" s="99" customFormat="1" ht="15.75" customHeight="1">
      <c r="A14" s="98">
        <v>1</v>
      </c>
      <c r="B14" s="442">
        <v>2</v>
      </c>
      <c r="C14" s="443"/>
      <c r="D14" s="443"/>
      <c r="E14" s="444"/>
      <c r="F14" s="98">
        <v>3</v>
      </c>
    </row>
    <row r="15" spans="1:6" s="100" customFormat="1" ht="15.75" customHeight="1">
      <c r="A15" s="429" t="s">
        <v>198</v>
      </c>
      <c r="B15" s="430"/>
      <c r="C15" s="430"/>
      <c r="D15" s="430"/>
      <c r="E15" s="430"/>
      <c r="F15" s="431"/>
    </row>
    <row r="16" spans="1:6" s="67" customFormat="1" ht="21" customHeight="1">
      <c r="A16" s="101">
        <f>додаток1!A106</f>
        <v>41020100</v>
      </c>
      <c r="B16" s="432" t="str">
        <f>додаток1!B106</f>
        <v>Базова дотація</v>
      </c>
      <c r="C16" s="433"/>
      <c r="D16" s="433"/>
      <c r="E16" s="434"/>
      <c r="F16" s="66">
        <f>F17</f>
        <v>37253500</v>
      </c>
    </row>
    <row r="17" spans="1:6" s="96" customFormat="1" ht="21" customHeight="1">
      <c r="A17" s="102">
        <v>99000000000</v>
      </c>
      <c r="B17" s="435" t="s">
        <v>199</v>
      </c>
      <c r="C17" s="436"/>
      <c r="D17" s="436"/>
      <c r="E17" s="437"/>
      <c r="F17" s="103">
        <f>додаток1!D106</f>
        <v>37253500</v>
      </c>
    </row>
    <row r="18" spans="1:6" s="67" customFormat="1" ht="66.75" customHeight="1">
      <c r="A18" s="101">
        <f>додаток1!A107</f>
        <v>41021400</v>
      </c>
      <c r="B18" s="432"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433"/>
      <c r="D18" s="433"/>
      <c r="E18" s="434"/>
      <c r="F18" s="66">
        <f>F19</f>
        <v>10197000</v>
      </c>
    </row>
    <row r="19" spans="1:6" s="96" customFormat="1" ht="21" customHeight="1">
      <c r="A19" s="102">
        <v>99000000000</v>
      </c>
      <c r="B19" s="435" t="s">
        <v>199</v>
      </c>
      <c r="C19" s="436"/>
      <c r="D19" s="436"/>
      <c r="E19" s="437"/>
      <c r="F19" s="103">
        <f>додаток1!D107</f>
        <v>10197000</v>
      </c>
    </row>
    <row r="20" spans="1:6" s="67" customFormat="1" ht="20.25" customHeight="1">
      <c r="A20" s="101">
        <f>додаток1!A110</f>
        <v>41033900</v>
      </c>
      <c r="B20" s="432" t="str">
        <f>додаток1!B110</f>
        <v>Освітня субвенція з державного бюджету місцевим бюджетам</v>
      </c>
      <c r="C20" s="433"/>
      <c r="D20" s="433"/>
      <c r="E20" s="434"/>
      <c r="F20" s="66">
        <f>F21</f>
        <v>89254700</v>
      </c>
    </row>
    <row r="21" spans="1:6" s="96" customFormat="1" ht="21" customHeight="1">
      <c r="A21" s="102">
        <v>99000000000</v>
      </c>
      <c r="B21" s="435" t="s">
        <v>199</v>
      </c>
      <c r="C21" s="436"/>
      <c r="D21" s="436"/>
      <c r="E21" s="437"/>
      <c r="F21" s="103">
        <f>додаток1!D110</f>
        <v>89254700</v>
      </c>
    </row>
    <row r="22" spans="1:6" s="96" customFormat="1" ht="46.5" customHeight="1" hidden="1">
      <c r="A22" s="101">
        <f>додаток1!A111</f>
        <v>41034500</v>
      </c>
      <c r="B22" s="432" t="str">
        <f>додаток1!B111</f>
        <v>Субвенція з державного бюджету місцевим бюджетам на здійснення заходів щодо соціально-економічного розвитку окремих територій</v>
      </c>
      <c r="C22" s="433"/>
      <c r="D22" s="433"/>
      <c r="E22" s="434"/>
      <c r="F22" s="66">
        <f>F23</f>
        <v>0</v>
      </c>
    </row>
    <row r="23" spans="1:6" s="96" customFormat="1" ht="24" customHeight="1" hidden="1">
      <c r="A23" s="102">
        <v>99000000000</v>
      </c>
      <c r="B23" s="435" t="s">
        <v>199</v>
      </c>
      <c r="C23" s="436"/>
      <c r="D23" s="436"/>
      <c r="E23" s="437"/>
      <c r="F23" s="103">
        <f>додаток1!D111</f>
        <v>0</v>
      </c>
    </row>
    <row r="24" spans="1:6" s="96" customFormat="1" ht="33.75" customHeight="1" hidden="1">
      <c r="A24" s="101">
        <f>додаток1!A112</f>
        <v>41035200</v>
      </c>
      <c r="B24" s="432" t="str">
        <f>додаток1!B112</f>
        <v>Субвенція з державного бюджету місцевим бюджетам на розвиток мережі центрів надання адміністративних послуг</v>
      </c>
      <c r="C24" s="433"/>
      <c r="D24" s="433"/>
      <c r="E24" s="434"/>
      <c r="F24" s="66">
        <f>F25</f>
        <v>0</v>
      </c>
    </row>
    <row r="25" spans="1:6" s="96" customFormat="1" ht="24" customHeight="1" hidden="1">
      <c r="A25" s="102">
        <v>99000000000</v>
      </c>
      <c r="B25" s="435" t="s">
        <v>199</v>
      </c>
      <c r="C25" s="436"/>
      <c r="D25" s="436"/>
      <c r="E25" s="437"/>
      <c r="F25" s="103">
        <f>додаток1!D112</f>
        <v>0</v>
      </c>
    </row>
    <row r="26" spans="1:6" s="96" customFormat="1" ht="48" customHeight="1" hidden="1">
      <c r="A26" s="101">
        <f>додаток1!A113</f>
        <v>41035500</v>
      </c>
      <c r="B26" s="432" t="str">
        <f>додаток1!B113</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433"/>
      <c r="D26" s="433"/>
      <c r="E26" s="434"/>
      <c r="F26" s="66">
        <f>F27</f>
        <v>0</v>
      </c>
    </row>
    <row r="27" spans="1:6" s="96" customFormat="1" ht="24" customHeight="1" hidden="1">
      <c r="A27" s="102">
        <v>99000000000</v>
      </c>
      <c r="B27" s="435" t="s">
        <v>199</v>
      </c>
      <c r="C27" s="436"/>
      <c r="D27" s="436"/>
      <c r="E27" s="437"/>
      <c r="F27" s="103">
        <f>додаток1!D113</f>
        <v>0</v>
      </c>
    </row>
    <row r="28" spans="1:256" s="67" customFormat="1" ht="49.5" customHeight="1">
      <c r="A28" s="101">
        <f>додаток1!A115</f>
        <v>41040200</v>
      </c>
      <c r="B28" s="432" t="str">
        <f>додаток1!B115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433"/>
      <c r="D28" s="433"/>
      <c r="E28" s="434"/>
      <c r="F28" s="66">
        <f>F29</f>
        <v>1963300</v>
      </c>
      <c r="IV28" s="67">
        <f>SUM(A28:IU28)</f>
        <v>43003500</v>
      </c>
    </row>
    <row r="29" spans="1:6" s="96" customFormat="1" ht="20.25" customHeight="1">
      <c r="A29" s="102">
        <v>10100000000</v>
      </c>
      <c r="B29" s="435" t="s">
        <v>200</v>
      </c>
      <c r="C29" s="436"/>
      <c r="D29" s="436"/>
      <c r="E29" s="437"/>
      <c r="F29" s="103">
        <f>додаток1!D115</f>
        <v>1963300</v>
      </c>
    </row>
    <row r="30" spans="1:6" s="67" customFormat="1" ht="25.5" customHeight="1" hidden="1">
      <c r="A30" s="101">
        <f>додаток1!A116</f>
        <v>41040400</v>
      </c>
      <c r="B30" s="432" t="str">
        <f>додаток1!B116</f>
        <v>Інші дотації з місцевого бюджету</v>
      </c>
      <c r="C30" s="452"/>
      <c r="D30" s="452"/>
      <c r="E30" s="453"/>
      <c r="F30" s="66">
        <f>F31</f>
        <v>0</v>
      </c>
    </row>
    <row r="31" spans="1:6" s="96" customFormat="1" ht="25.5" customHeight="1" hidden="1">
      <c r="A31" s="102">
        <v>10100000000</v>
      </c>
      <c r="B31" s="435" t="s">
        <v>200</v>
      </c>
      <c r="C31" s="436"/>
      <c r="D31" s="436"/>
      <c r="E31" s="437"/>
      <c r="F31" s="103">
        <f>додаток1!D116</f>
        <v>0</v>
      </c>
    </row>
    <row r="32" spans="1:6" s="96" customFormat="1" ht="72.75" customHeight="1" hidden="1">
      <c r="A32" s="101">
        <f>додаток1!A117</f>
        <v>41040500</v>
      </c>
      <c r="B32" s="432" t="str">
        <f>додаток1!B117</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433"/>
      <c r="D32" s="433"/>
      <c r="E32" s="434"/>
      <c r="F32" s="66">
        <f>F33</f>
        <v>0</v>
      </c>
    </row>
    <row r="33" spans="1:6" s="96" customFormat="1" ht="25.5" customHeight="1" hidden="1">
      <c r="A33" s="102">
        <v>10100000000</v>
      </c>
      <c r="B33" s="435" t="s">
        <v>200</v>
      </c>
      <c r="C33" s="436"/>
      <c r="D33" s="436"/>
      <c r="E33" s="437"/>
      <c r="F33" s="103">
        <f>додаток1!D117</f>
        <v>0</v>
      </c>
    </row>
    <row r="34" spans="1:6" s="96" customFormat="1" ht="168" customHeight="1">
      <c r="A34" s="101">
        <f>додаток1!A119</f>
        <v>41050400</v>
      </c>
      <c r="B34" s="454" t="str">
        <f>додаток1!B119</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455"/>
      <c r="D34" s="455"/>
      <c r="E34" s="456"/>
      <c r="F34" s="66">
        <f>F35</f>
        <v>8664845.76</v>
      </c>
    </row>
    <row r="35" spans="1:6" s="96" customFormat="1" ht="25.5" customHeight="1">
      <c r="A35" s="102">
        <v>10100000000</v>
      </c>
      <c r="B35" s="435" t="s">
        <v>200</v>
      </c>
      <c r="C35" s="436"/>
      <c r="D35" s="436"/>
      <c r="E35" s="437"/>
      <c r="F35" s="103">
        <f>додаток1!D119</f>
        <v>8664845.76</v>
      </c>
    </row>
    <row r="36" spans="1:6" s="67" customFormat="1" ht="33.75" customHeight="1">
      <c r="A36" s="101">
        <f>додаток1!A120</f>
        <v>41051000</v>
      </c>
      <c r="B36" s="432" t="str">
        <f>додаток1!B120</f>
        <v>Субвенція з місцевого бюджету на здійснення переданих видатків у сфері освіти за рахунок коштів освітньої субвенції</v>
      </c>
      <c r="C36" s="433"/>
      <c r="D36" s="433"/>
      <c r="E36" s="434"/>
      <c r="F36" s="66">
        <f>F37</f>
        <v>2950560</v>
      </c>
    </row>
    <row r="37" spans="1:6" s="96" customFormat="1" ht="17.25" customHeight="1">
      <c r="A37" s="102">
        <v>10100000000</v>
      </c>
      <c r="B37" s="435" t="s">
        <v>200</v>
      </c>
      <c r="C37" s="436"/>
      <c r="D37" s="436"/>
      <c r="E37" s="437"/>
      <c r="F37" s="103">
        <f>додаток1!D120</f>
        <v>2950560</v>
      </c>
    </row>
    <row r="38" spans="1:6" s="67" customFormat="1" ht="36.75" customHeight="1">
      <c r="A38" s="101">
        <f>додаток1!A121</f>
        <v>41051200</v>
      </c>
      <c r="B38" s="432" t="str">
        <f>додаток1!B121</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433"/>
      <c r="D38" s="433"/>
      <c r="E38" s="434"/>
      <c r="F38" s="66">
        <f>F39</f>
        <v>594526</v>
      </c>
    </row>
    <row r="39" spans="1:6" s="96" customFormat="1" ht="20.25" customHeight="1">
      <c r="A39" s="102">
        <v>10100000000</v>
      </c>
      <c r="B39" s="435" t="s">
        <v>200</v>
      </c>
      <c r="C39" s="436"/>
      <c r="D39" s="436"/>
      <c r="E39" s="437"/>
      <c r="F39" s="103">
        <f>додаток1!D121</f>
        <v>594526</v>
      </c>
    </row>
    <row r="40" spans="1:6" s="67" customFormat="1" ht="170.25" customHeight="1" hidden="1">
      <c r="A40" s="101"/>
      <c r="B40" s="454"/>
      <c r="C40" s="459"/>
      <c r="D40" s="459"/>
      <c r="E40" s="460"/>
      <c r="F40" s="66"/>
    </row>
    <row r="41" spans="1:6" s="96" customFormat="1" ht="20.25" customHeight="1" hidden="1">
      <c r="A41" s="102">
        <v>10100000000</v>
      </c>
      <c r="B41" s="435" t="s">
        <v>200</v>
      </c>
      <c r="C41" s="436"/>
      <c r="D41" s="436"/>
      <c r="E41" s="437"/>
      <c r="F41" s="103"/>
    </row>
    <row r="42" spans="1:6" s="96" customFormat="1" ht="51" customHeight="1" hidden="1">
      <c r="A42" s="101">
        <f>додаток1!A122</f>
        <v>41051400</v>
      </c>
      <c r="B42" s="432" t="str">
        <f>додаток1!B122</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433"/>
      <c r="D42" s="433"/>
      <c r="E42" s="434"/>
      <c r="F42" s="66">
        <f>F43</f>
        <v>0</v>
      </c>
    </row>
    <row r="43" spans="1:6" s="96" customFormat="1" ht="24.75" customHeight="1" hidden="1">
      <c r="A43" s="102">
        <v>10100000000</v>
      </c>
      <c r="B43" s="435" t="s">
        <v>200</v>
      </c>
      <c r="C43" s="436"/>
      <c r="D43" s="436"/>
      <c r="E43" s="437"/>
      <c r="F43" s="103">
        <f>додаток1!D122</f>
        <v>0</v>
      </c>
    </row>
    <row r="44" spans="1:6" s="96" customFormat="1" ht="57.75" customHeight="1" hidden="1">
      <c r="A44" s="101">
        <f>додаток1!A124</f>
        <v>41051700</v>
      </c>
      <c r="B44" s="432" t="str">
        <f>додаток1!B124</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433"/>
      <c r="D44" s="433"/>
      <c r="E44" s="434"/>
      <c r="F44" s="66">
        <f>F45</f>
        <v>0</v>
      </c>
    </row>
    <row r="45" spans="1:6" s="96" customFormat="1" ht="24.75" customHeight="1" hidden="1">
      <c r="A45" s="102">
        <v>10100000000</v>
      </c>
      <c r="B45" s="435" t="s">
        <v>200</v>
      </c>
      <c r="C45" s="436"/>
      <c r="D45" s="436"/>
      <c r="E45" s="437"/>
      <c r="F45" s="103">
        <f>додаток1!D124</f>
        <v>0</v>
      </c>
    </row>
    <row r="46" spans="1:6" s="67" customFormat="1" ht="19.5" customHeight="1" hidden="1">
      <c r="A46" s="65">
        <v>41053900</v>
      </c>
      <c r="B46" s="432" t="s">
        <v>552</v>
      </c>
      <c r="C46" s="433"/>
      <c r="D46" s="433"/>
      <c r="E46" s="434"/>
      <c r="F46" s="66">
        <f>F47</f>
        <v>0</v>
      </c>
    </row>
    <row r="47" spans="1:6" s="96" customFormat="1" ht="20.25" customHeight="1" hidden="1">
      <c r="A47" s="102">
        <v>10100000000</v>
      </c>
      <c r="B47" s="435" t="s">
        <v>200</v>
      </c>
      <c r="C47" s="436"/>
      <c r="D47" s="436"/>
      <c r="E47" s="437"/>
      <c r="F47" s="103">
        <f>додаток1!D125</f>
        <v>0</v>
      </c>
    </row>
    <row r="48" spans="1:6" s="67" customFormat="1" ht="46.5" customHeight="1">
      <c r="A48" s="65">
        <f>додаток1!A129</f>
        <v>41057700</v>
      </c>
      <c r="B48" s="432" t="str">
        <f>додаток1!B129</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457"/>
      <c r="D48" s="457"/>
      <c r="E48" s="458"/>
      <c r="F48" s="66">
        <f>F49</f>
        <v>68662.11000000002</v>
      </c>
    </row>
    <row r="49" spans="1:6" s="96" customFormat="1" ht="20.25" customHeight="1">
      <c r="A49" s="102">
        <v>10100000000</v>
      </c>
      <c r="B49" s="435" t="s">
        <v>200</v>
      </c>
      <c r="C49" s="436"/>
      <c r="D49" s="436"/>
      <c r="E49" s="437"/>
      <c r="F49" s="103">
        <f>додаток1!D129</f>
        <v>68662.11000000002</v>
      </c>
    </row>
    <row r="50" spans="1:6" s="96" customFormat="1" ht="24" customHeight="1">
      <c r="A50" s="429" t="s">
        <v>201</v>
      </c>
      <c r="B50" s="430"/>
      <c r="C50" s="430"/>
      <c r="D50" s="430"/>
      <c r="E50" s="430"/>
      <c r="F50" s="431"/>
    </row>
    <row r="51" spans="1:6" s="67" customFormat="1" ht="18" customHeight="1">
      <c r="A51" s="101"/>
      <c r="B51" s="432"/>
      <c r="C51" s="433"/>
      <c r="D51" s="433"/>
      <c r="E51" s="434"/>
      <c r="F51" s="66">
        <f>F52</f>
        <v>0</v>
      </c>
    </row>
    <row r="52" spans="1:6" s="96" customFormat="1" ht="19.5" customHeight="1">
      <c r="A52" s="102"/>
      <c r="B52" s="435"/>
      <c r="C52" s="436"/>
      <c r="D52" s="436"/>
      <c r="E52" s="437"/>
      <c r="F52" s="103">
        <f>додаток1!C109</f>
        <v>0</v>
      </c>
    </row>
    <row r="53" spans="1:6" s="96" customFormat="1" ht="19.5" customHeight="1" hidden="1">
      <c r="A53" s="102"/>
      <c r="B53" s="435"/>
      <c r="C53" s="436"/>
      <c r="D53" s="436"/>
      <c r="E53" s="437"/>
      <c r="F53" s="103"/>
    </row>
    <row r="54" spans="1:6" s="96" customFormat="1" ht="19.5" customHeight="1" hidden="1">
      <c r="A54" s="102"/>
      <c r="B54" s="435"/>
      <c r="C54" s="436"/>
      <c r="D54" s="436"/>
      <c r="E54" s="437"/>
      <c r="F54" s="103"/>
    </row>
    <row r="55" spans="1:6" s="96" customFormat="1" ht="19.5" customHeight="1" hidden="1">
      <c r="A55" s="102"/>
      <c r="B55" s="435"/>
      <c r="C55" s="436"/>
      <c r="D55" s="436"/>
      <c r="E55" s="437"/>
      <c r="F55" s="103"/>
    </row>
    <row r="56" spans="1:6" s="67" customFormat="1" ht="16.5" customHeight="1">
      <c r="A56" s="101" t="s">
        <v>1</v>
      </c>
      <c r="B56" s="432" t="s">
        <v>202</v>
      </c>
      <c r="C56" s="433"/>
      <c r="D56" s="433"/>
      <c r="E56" s="434"/>
      <c r="F56" s="66">
        <f>F57+F58</f>
        <v>150947093.87</v>
      </c>
    </row>
    <row r="57" spans="1:7" s="67" customFormat="1" ht="16.5" customHeight="1">
      <c r="A57" s="101" t="s">
        <v>1</v>
      </c>
      <c r="B57" s="432" t="s">
        <v>203</v>
      </c>
      <c r="C57" s="433"/>
      <c r="D57" s="433"/>
      <c r="E57" s="434"/>
      <c r="F57" s="66">
        <f>F16+F20+F22+F26+F28+F36+F38+F42+F44+F46+F48+F24+F32+F30+F18+F40+F34</f>
        <v>150947093.87</v>
      </c>
      <c r="G57" s="104">
        <f>F57-додаток1!D103</f>
        <v>0</v>
      </c>
    </row>
    <row r="58" spans="1:7" s="67" customFormat="1" ht="16.5" customHeight="1">
      <c r="A58" s="101" t="s">
        <v>1</v>
      </c>
      <c r="B58" s="432" t="s">
        <v>204</v>
      </c>
      <c r="C58" s="433"/>
      <c r="D58" s="433"/>
      <c r="E58" s="434"/>
      <c r="F58" s="66">
        <f>F52</f>
        <v>0</v>
      </c>
      <c r="G58" s="104">
        <f>F58-додаток1!E103</f>
        <v>0</v>
      </c>
    </row>
    <row r="59" spans="1:6" s="96" customFormat="1" ht="15.75" customHeight="1">
      <c r="A59" s="95"/>
      <c r="F59" s="105">
        <f>F56-додаток1!C103</f>
        <v>0</v>
      </c>
    </row>
    <row r="60" spans="1:6" s="91" customFormat="1" ht="27.75" customHeight="1">
      <c r="A60" s="441" t="s">
        <v>205</v>
      </c>
      <c r="B60" s="441"/>
      <c r="C60" s="441"/>
      <c r="D60" s="441"/>
      <c r="E60" s="441"/>
      <c r="F60" s="441"/>
    </row>
    <row r="61" s="96" customFormat="1" ht="15">
      <c r="A61" s="95"/>
    </row>
    <row r="62" spans="1:6" s="109" customFormat="1" ht="71.25" customHeight="1">
      <c r="A62" s="106" t="s">
        <v>206</v>
      </c>
      <c r="B62" s="107" t="s">
        <v>28</v>
      </c>
      <c r="C62" s="461" t="s">
        <v>207</v>
      </c>
      <c r="D62" s="462"/>
      <c r="E62" s="463"/>
      <c r="F62" s="108" t="s">
        <v>459</v>
      </c>
    </row>
    <row r="63" spans="1:6" s="110" customFormat="1" ht="15">
      <c r="A63" s="101">
        <v>1</v>
      </c>
      <c r="B63" s="101">
        <v>2</v>
      </c>
      <c r="C63" s="465">
        <v>3</v>
      </c>
      <c r="D63" s="466"/>
      <c r="E63" s="467"/>
      <c r="F63" s="101">
        <v>4</v>
      </c>
    </row>
    <row r="64" spans="1:6" s="96" customFormat="1" ht="15">
      <c r="A64" s="429" t="s">
        <v>208</v>
      </c>
      <c r="B64" s="430"/>
      <c r="C64" s="430"/>
      <c r="D64" s="430"/>
      <c r="E64" s="430"/>
      <c r="F64" s="431"/>
    </row>
    <row r="65" spans="1:6" s="67" customFormat="1" ht="33.75" customHeight="1">
      <c r="A65" s="136" t="s">
        <v>316</v>
      </c>
      <c r="B65" s="111">
        <v>9800</v>
      </c>
      <c r="C65" s="426" t="s">
        <v>318</v>
      </c>
      <c r="D65" s="427"/>
      <c r="E65" s="428"/>
      <c r="F65" s="137">
        <f>F66</f>
        <v>170000</v>
      </c>
    </row>
    <row r="66" spans="1:6" s="96" customFormat="1" ht="15">
      <c r="A66" s="102">
        <v>99000000000</v>
      </c>
      <c r="B66" s="112"/>
      <c r="C66" s="420" t="s">
        <v>199</v>
      </c>
      <c r="D66" s="421"/>
      <c r="E66" s="422"/>
      <c r="F66" s="138">
        <f>SUM(F67:F69)</f>
        <v>170000</v>
      </c>
    </row>
    <row r="67" spans="1:6" s="96" customFormat="1" ht="15">
      <c r="A67" s="102"/>
      <c r="B67" s="112"/>
      <c r="C67" s="423" t="s">
        <v>351</v>
      </c>
      <c r="D67" s="424"/>
      <c r="E67" s="425"/>
      <c r="F67" s="140">
        <v>60000</v>
      </c>
    </row>
    <row r="68" spans="1:6" s="96" customFormat="1" ht="45" customHeight="1">
      <c r="A68" s="102"/>
      <c r="B68" s="112"/>
      <c r="C68" s="423" t="s">
        <v>399</v>
      </c>
      <c r="D68" s="424"/>
      <c r="E68" s="425"/>
      <c r="F68" s="140">
        <f>60000</f>
        <v>60000</v>
      </c>
    </row>
    <row r="69" spans="1:6" s="96" customFormat="1" ht="30" customHeight="1">
      <c r="A69" s="102"/>
      <c r="B69" s="112"/>
      <c r="C69" s="423" t="s">
        <v>352</v>
      </c>
      <c r="D69" s="424"/>
      <c r="E69" s="425"/>
      <c r="F69" s="140">
        <f>50000</f>
        <v>50000</v>
      </c>
    </row>
    <row r="70" spans="1:6" s="96" customFormat="1" ht="23.25" customHeight="1">
      <c r="A70" s="136" t="s">
        <v>514</v>
      </c>
      <c r="B70" s="111">
        <v>9150</v>
      </c>
      <c r="C70" s="426" t="s">
        <v>381</v>
      </c>
      <c r="D70" s="427"/>
      <c r="E70" s="428"/>
      <c r="F70" s="137">
        <f>F71</f>
        <v>50000</v>
      </c>
    </row>
    <row r="71" spans="1:6" s="96" customFormat="1" ht="19.5" customHeight="1">
      <c r="A71" s="102">
        <v>10100000000</v>
      </c>
      <c r="B71" s="112"/>
      <c r="C71" s="420" t="s">
        <v>200</v>
      </c>
      <c r="D71" s="421"/>
      <c r="E71" s="422"/>
      <c r="F71" s="138">
        <f>SUM(F72)</f>
        <v>50000</v>
      </c>
    </row>
    <row r="72" spans="1:6" s="96" customFormat="1" ht="108" customHeight="1">
      <c r="A72" s="141"/>
      <c r="B72" s="139"/>
      <c r="C72" s="423" t="s">
        <v>516</v>
      </c>
      <c r="D72" s="424"/>
      <c r="E72" s="425"/>
      <c r="F72" s="140">
        <v>50000</v>
      </c>
    </row>
    <row r="73" spans="1:6" s="96" customFormat="1" ht="18" customHeight="1">
      <c r="A73" s="136" t="s">
        <v>340</v>
      </c>
      <c r="B73" s="111">
        <v>9770</v>
      </c>
      <c r="C73" s="426" t="s">
        <v>342</v>
      </c>
      <c r="D73" s="427"/>
      <c r="E73" s="428"/>
      <c r="F73" s="137">
        <f>F74</f>
        <v>900000</v>
      </c>
    </row>
    <row r="74" spans="1:6" s="96" customFormat="1" ht="18.75" customHeight="1">
      <c r="A74" s="102">
        <v>10100000000</v>
      </c>
      <c r="B74" s="112"/>
      <c r="C74" s="420" t="s">
        <v>200</v>
      </c>
      <c r="D74" s="421"/>
      <c r="E74" s="422"/>
      <c r="F74" s="138">
        <f>SUM(F75)</f>
        <v>900000</v>
      </c>
    </row>
    <row r="75" spans="1:6" s="96" customFormat="1" ht="33" customHeight="1">
      <c r="A75" s="141"/>
      <c r="B75" s="139"/>
      <c r="C75" s="423" t="s">
        <v>526</v>
      </c>
      <c r="D75" s="424"/>
      <c r="E75" s="425"/>
      <c r="F75" s="140">
        <v>900000</v>
      </c>
    </row>
    <row r="76" spans="1:6" s="96" customFormat="1" ht="27.75" customHeight="1">
      <c r="A76" s="143"/>
      <c r="B76" s="144"/>
      <c r="C76" s="142"/>
      <c r="D76" s="142"/>
      <c r="E76" s="142"/>
      <c r="F76" s="145"/>
    </row>
    <row r="77" spans="1:6" s="96" customFormat="1" ht="15">
      <c r="A77" s="429" t="s">
        <v>209</v>
      </c>
      <c r="B77" s="430"/>
      <c r="C77" s="430"/>
      <c r="D77" s="430"/>
      <c r="E77" s="430"/>
      <c r="F77" s="431"/>
    </row>
    <row r="78" spans="1:6" s="96" customFormat="1" ht="34.5" customHeight="1">
      <c r="A78" s="136" t="s">
        <v>316</v>
      </c>
      <c r="B78" s="111">
        <v>9800</v>
      </c>
      <c r="C78" s="426" t="s">
        <v>318</v>
      </c>
      <c r="D78" s="427"/>
      <c r="E78" s="428"/>
      <c r="F78" s="137">
        <f>F79</f>
        <v>100000</v>
      </c>
    </row>
    <row r="79" spans="1:6" s="96" customFormat="1" ht="15">
      <c r="A79" s="102">
        <v>99000000000</v>
      </c>
      <c r="B79" s="112"/>
      <c r="C79" s="420" t="s">
        <v>199</v>
      </c>
      <c r="D79" s="421"/>
      <c r="E79" s="422"/>
      <c r="F79" s="138">
        <f>SUM(F80)</f>
        <v>100000</v>
      </c>
    </row>
    <row r="80" spans="1:6" s="96" customFormat="1" ht="51" customHeight="1">
      <c r="A80" s="102"/>
      <c r="B80" s="139"/>
      <c r="C80" s="423" t="s">
        <v>512</v>
      </c>
      <c r="D80" s="424"/>
      <c r="E80" s="425"/>
      <c r="F80" s="140">
        <f>100000</f>
        <v>100000</v>
      </c>
    </row>
    <row r="81" spans="1:6" s="96" customFormat="1" ht="15">
      <c r="A81" s="101" t="s">
        <v>1</v>
      </c>
      <c r="B81" s="432" t="s">
        <v>202</v>
      </c>
      <c r="C81" s="433"/>
      <c r="D81" s="433"/>
      <c r="E81" s="434"/>
      <c r="F81" s="66">
        <f>F82+F83</f>
        <v>1220000</v>
      </c>
    </row>
    <row r="82" spans="1:6" s="96" customFormat="1" ht="15">
      <c r="A82" s="101" t="s">
        <v>1</v>
      </c>
      <c r="B82" s="432" t="s">
        <v>203</v>
      </c>
      <c r="C82" s="433"/>
      <c r="D82" s="433"/>
      <c r="E82" s="434"/>
      <c r="F82" s="66">
        <f>F65+F73+F70</f>
        <v>1120000</v>
      </c>
    </row>
    <row r="83" spans="1:6" s="96" customFormat="1" ht="15">
      <c r="A83" s="101" t="s">
        <v>1</v>
      </c>
      <c r="B83" s="432" t="s">
        <v>204</v>
      </c>
      <c r="C83" s="433"/>
      <c r="D83" s="433"/>
      <c r="E83" s="434"/>
      <c r="F83" s="66">
        <f>F78</f>
        <v>100000</v>
      </c>
    </row>
    <row r="84" s="96" customFormat="1" ht="15">
      <c r="A84" s="95"/>
    </row>
    <row r="85" spans="1:6" s="67" customFormat="1" ht="15">
      <c r="A85" s="464" t="str">
        <f>додаток1!A132</f>
        <v>Секретар міської ради                                                                        Наталія  ІВАНЮТА</v>
      </c>
      <c r="B85" s="464"/>
      <c r="C85" s="464"/>
      <c r="D85" s="464"/>
      <c r="E85" s="464"/>
      <c r="F85" s="464"/>
    </row>
    <row r="86" s="96" customFormat="1" ht="15">
      <c r="A86" s="95"/>
    </row>
    <row r="87" s="96" customFormat="1" ht="15">
      <c r="A87" s="95"/>
    </row>
    <row r="88" s="96" customFormat="1" ht="15">
      <c r="A88" s="95"/>
    </row>
    <row r="89" s="96" customFormat="1" ht="15">
      <c r="A89" s="95"/>
    </row>
    <row r="90" s="96" customFormat="1" ht="15">
      <c r="A90" s="95"/>
    </row>
    <row r="91" s="96" customFormat="1" ht="15">
      <c r="A91" s="95"/>
    </row>
    <row r="92" s="96" customFormat="1" ht="15">
      <c r="A92" s="95"/>
    </row>
    <row r="93" s="96" customFormat="1" ht="15">
      <c r="A93" s="95"/>
    </row>
    <row r="94" s="96" customFormat="1" ht="15">
      <c r="A94" s="95"/>
    </row>
    <row r="95" s="96" customFormat="1" ht="15">
      <c r="A95" s="95"/>
    </row>
    <row r="96" s="96" customFormat="1" ht="15">
      <c r="A96" s="95"/>
    </row>
    <row r="97" s="96" customFormat="1" ht="15">
      <c r="A97" s="95"/>
    </row>
    <row r="98" s="96" customFormat="1" ht="15">
      <c r="A98" s="95"/>
    </row>
    <row r="99" s="96" customFormat="1" ht="15">
      <c r="A99" s="95"/>
    </row>
    <row r="100" s="96" customFormat="1" ht="15">
      <c r="A100" s="95"/>
    </row>
    <row r="101" s="96" customFormat="1" ht="15">
      <c r="A101" s="95"/>
    </row>
    <row r="102" s="96" customFormat="1" ht="15">
      <c r="A102" s="95"/>
    </row>
  </sheetData>
  <sheetProtection/>
  <mergeCells count="78">
    <mergeCell ref="B49:E49"/>
    <mergeCell ref="B56:E56"/>
    <mergeCell ref="C63:E63"/>
    <mergeCell ref="A64:F64"/>
    <mergeCell ref="B57:E57"/>
    <mergeCell ref="A50:F50"/>
    <mergeCell ref="B55:E55"/>
    <mergeCell ref="B58:E58"/>
    <mergeCell ref="A60:F60"/>
    <mergeCell ref="A85:F85"/>
    <mergeCell ref="C66:E66"/>
    <mergeCell ref="A77:F77"/>
    <mergeCell ref="B81:E81"/>
    <mergeCell ref="B82:E82"/>
    <mergeCell ref="B83:E83"/>
    <mergeCell ref="C67:E67"/>
    <mergeCell ref="C69:E69"/>
    <mergeCell ref="C68:E68"/>
    <mergeCell ref="C78:E78"/>
    <mergeCell ref="C72:E72"/>
    <mergeCell ref="B51:E51"/>
    <mergeCell ref="B52:E52"/>
    <mergeCell ref="B53:E53"/>
    <mergeCell ref="B54:E54"/>
    <mergeCell ref="C65:E65"/>
    <mergeCell ref="C62:E62"/>
    <mergeCell ref="C70:E70"/>
    <mergeCell ref="C71:E71"/>
    <mergeCell ref="B39:E39"/>
    <mergeCell ref="B46:E46"/>
    <mergeCell ref="B47:E47"/>
    <mergeCell ref="B48:E48"/>
    <mergeCell ref="B42:E42"/>
    <mergeCell ref="B43:E43"/>
    <mergeCell ref="B44:E44"/>
    <mergeCell ref="B45:E45"/>
    <mergeCell ref="B40:E40"/>
    <mergeCell ref="B41:E41"/>
    <mergeCell ref="B29:E29"/>
    <mergeCell ref="B36:E36"/>
    <mergeCell ref="B37:E37"/>
    <mergeCell ref="B38:E38"/>
    <mergeCell ref="B32:E32"/>
    <mergeCell ref="B33:E33"/>
    <mergeCell ref="B31:E31"/>
    <mergeCell ref="B30:E30"/>
    <mergeCell ref="B34:E34"/>
    <mergeCell ref="B35:E35"/>
    <mergeCell ref="B21:E21"/>
    <mergeCell ref="B28:E28"/>
    <mergeCell ref="B24:E24"/>
    <mergeCell ref="B25:E25"/>
    <mergeCell ref="B22:E22"/>
    <mergeCell ref="B23:E23"/>
    <mergeCell ref="B26:E26"/>
    <mergeCell ref="B27:E27"/>
    <mergeCell ref="E1:F1"/>
    <mergeCell ref="E2:F2"/>
    <mergeCell ref="E3:F3"/>
    <mergeCell ref="C5:F5"/>
    <mergeCell ref="A6:F6"/>
    <mergeCell ref="E4:F4"/>
    <mergeCell ref="A10:F10"/>
    <mergeCell ref="B14:E14"/>
    <mergeCell ref="A12:A13"/>
    <mergeCell ref="F12:F13"/>
    <mergeCell ref="B12:E13"/>
    <mergeCell ref="A15:F15"/>
    <mergeCell ref="B16:E16"/>
    <mergeCell ref="B17:E17"/>
    <mergeCell ref="B20:E20"/>
    <mergeCell ref="B18:E18"/>
    <mergeCell ref="B19:E19"/>
    <mergeCell ref="C79:E79"/>
    <mergeCell ref="C80:E80"/>
    <mergeCell ref="C73:E73"/>
    <mergeCell ref="C74:E74"/>
    <mergeCell ref="C75:E75"/>
  </mergeCells>
  <printOptions/>
  <pageMargins left="0.7480314960629921" right="0.35" top="0.52" bottom="0.59" header="0" footer="0"/>
  <pageSetup fitToHeight="2"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V112"/>
  <sheetViews>
    <sheetView showZeros="0" zoomScale="65" zoomScaleNormal="65" workbookViewId="0" topLeftCell="A10">
      <selection activeCell="D46" sqref="D46"/>
    </sheetView>
  </sheetViews>
  <sheetFormatPr defaultColWidth="8.875" defaultRowHeight="12.75"/>
  <cols>
    <col min="1" max="1" width="17.125" style="165" customWidth="1"/>
    <col min="2" max="2" width="16.25390625" style="165" customWidth="1"/>
    <col min="3" max="3" width="16.125" style="165" customWidth="1"/>
    <col min="4" max="4" width="67.125" style="285" customWidth="1"/>
    <col min="5" max="5" width="92.875" style="286" customWidth="1"/>
    <col min="6" max="6" width="18.125" style="165" customWidth="1"/>
    <col min="7" max="8" width="16.375" style="286" customWidth="1"/>
    <col min="9" max="9" width="21.00390625" style="286" customWidth="1"/>
    <col min="10" max="10" width="17.75390625" style="286" customWidth="1"/>
    <col min="11" max="12" width="15.375" style="207" hidden="1" customWidth="1"/>
    <col min="13" max="13" width="14.00390625" style="207" hidden="1" customWidth="1"/>
    <col min="14" max="14" width="8.875" style="207" hidden="1" customWidth="1"/>
    <col min="15" max="15" width="15.25390625" style="207" hidden="1" customWidth="1"/>
    <col min="16" max="16" width="10.625" style="207" hidden="1" customWidth="1"/>
    <col min="17" max="17" width="11.00390625" style="207" hidden="1" customWidth="1"/>
    <col min="18" max="18" width="12.875" style="207" hidden="1" customWidth="1"/>
    <col min="19" max="19" width="14.375" style="207" hidden="1" customWidth="1"/>
    <col min="20" max="20" width="0" style="207" hidden="1" customWidth="1"/>
    <col min="21" max="16384" width="8.875" style="207" customWidth="1"/>
  </cols>
  <sheetData>
    <row r="1" spans="6:12" ht="21">
      <c r="F1" s="469" t="s">
        <v>210</v>
      </c>
      <c r="G1" s="469"/>
      <c r="H1" s="469"/>
      <c r="I1" s="469"/>
      <c r="J1" s="469"/>
      <c r="K1" s="128"/>
      <c r="L1" s="128"/>
    </row>
    <row r="2" spans="1:12" ht="21">
      <c r="A2" s="162"/>
      <c r="D2" s="165"/>
      <c r="F2" s="469" t="str">
        <f>додаток1!D2</f>
        <v>до рішення сімнадцятої сесії Тетіївської міської ради</v>
      </c>
      <c r="G2" s="469"/>
      <c r="H2" s="469"/>
      <c r="I2" s="469"/>
      <c r="J2" s="469"/>
      <c r="K2" s="128"/>
      <c r="L2" s="128"/>
    </row>
    <row r="3" spans="4:12" ht="42.75" customHeight="1">
      <c r="D3" s="165"/>
      <c r="F3" s="470" t="str">
        <f>додаток1!D3</f>
        <v>"Про бюджет Тетіївської міської територіальної громади на 2023 рік" від 20.12.2022 № 772-17-VIII</v>
      </c>
      <c r="G3" s="470"/>
      <c r="H3" s="470"/>
      <c r="I3" s="470"/>
      <c r="J3" s="470"/>
      <c r="K3" s="128"/>
      <c r="L3" s="128"/>
    </row>
    <row r="4" spans="4:10" ht="36.75" customHeight="1">
      <c r="D4" s="165"/>
      <c r="F4" s="470" t="str">
        <f>додаток1!D4</f>
        <v>(в редакції рішення двадцять другої сесії Тетіївської міської ради від 01.08.2023 № 978-22-VIII)</v>
      </c>
      <c r="G4" s="470"/>
      <c r="H4" s="470"/>
      <c r="I4" s="470"/>
      <c r="J4" s="470"/>
    </row>
    <row r="5" spans="4:13" ht="21">
      <c r="D5" s="165"/>
      <c r="F5" s="469">
        <f>додаток1!C5</f>
        <v>0</v>
      </c>
      <c r="G5" s="469"/>
      <c r="H5" s="469"/>
      <c r="I5" s="469"/>
      <c r="J5" s="469"/>
      <c r="K5" s="195"/>
      <c r="L5" s="195"/>
      <c r="M5" s="195"/>
    </row>
    <row r="6" spans="1:12" s="290" customFormat="1" ht="67.5" customHeight="1">
      <c r="A6" s="287"/>
      <c r="B6" s="287"/>
      <c r="C6" s="471" t="s">
        <v>411</v>
      </c>
      <c r="D6" s="471"/>
      <c r="E6" s="471"/>
      <c r="F6" s="471"/>
      <c r="G6" s="471"/>
      <c r="H6" s="471"/>
      <c r="I6" s="288"/>
      <c r="J6" s="288"/>
      <c r="K6" s="289"/>
      <c r="L6" s="289"/>
    </row>
    <row r="7" spans="1:12" s="290" customFormat="1" ht="27" customHeight="1">
      <c r="A7" s="158">
        <f>додаток1!A8</f>
        <v>1050800000</v>
      </c>
      <c r="B7" s="158"/>
      <c r="C7" s="220"/>
      <c r="D7" s="220"/>
      <c r="E7" s="220"/>
      <c r="F7" s="220"/>
      <c r="G7" s="220"/>
      <c r="H7" s="220"/>
      <c r="I7" s="220"/>
      <c r="J7" s="220"/>
      <c r="K7" s="289"/>
      <c r="L7" s="289"/>
    </row>
    <row r="8" spans="1:12" s="219" customFormat="1" ht="24" customHeight="1">
      <c r="A8" s="474" t="s">
        <v>455</v>
      </c>
      <c r="B8" s="474"/>
      <c r="C8" s="291"/>
      <c r="D8" s="291"/>
      <c r="E8" s="292"/>
      <c r="F8" s="291"/>
      <c r="G8" s="292"/>
      <c r="H8" s="292"/>
      <c r="I8" s="292"/>
      <c r="J8" s="292"/>
      <c r="K8" s="293"/>
      <c r="L8" s="293"/>
    </row>
    <row r="9" spans="1:18" s="277" customFormat="1" ht="21">
      <c r="A9" s="294"/>
      <c r="B9" s="294"/>
      <c r="C9" s="294"/>
      <c r="D9" s="295"/>
      <c r="E9" s="299"/>
      <c r="F9" s="294"/>
      <c r="G9" s="299"/>
      <c r="H9" s="299"/>
      <c r="I9" s="299"/>
      <c r="J9" s="300" t="s">
        <v>456</v>
      </c>
      <c r="K9" s="472" t="s">
        <v>211</v>
      </c>
      <c r="L9" s="301"/>
      <c r="M9" s="472" t="s">
        <v>300</v>
      </c>
      <c r="N9" s="472" t="s">
        <v>212</v>
      </c>
      <c r="O9" s="472" t="s">
        <v>299</v>
      </c>
      <c r="P9" s="472" t="s">
        <v>213</v>
      </c>
      <c r="Q9" s="472" t="s">
        <v>369</v>
      </c>
      <c r="R9" s="472" t="s">
        <v>214</v>
      </c>
    </row>
    <row r="10" spans="1:22" s="308" customFormat="1" ht="140.25" customHeight="1">
      <c r="A10" s="302" t="s">
        <v>27</v>
      </c>
      <c r="B10" s="302" t="s">
        <v>28</v>
      </c>
      <c r="C10" s="303" t="s">
        <v>29</v>
      </c>
      <c r="D10" s="303" t="s">
        <v>30</v>
      </c>
      <c r="E10" s="303" t="s">
        <v>343</v>
      </c>
      <c r="F10" s="303" t="s">
        <v>344</v>
      </c>
      <c r="G10" s="303" t="s">
        <v>345</v>
      </c>
      <c r="H10" s="303" t="s">
        <v>346</v>
      </c>
      <c r="I10" s="303" t="s">
        <v>518</v>
      </c>
      <c r="J10" s="303" t="s">
        <v>519</v>
      </c>
      <c r="K10" s="473"/>
      <c r="L10" s="304" t="s">
        <v>5</v>
      </c>
      <c r="M10" s="473"/>
      <c r="N10" s="473"/>
      <c r="O10" s="473"/>
      <c r="P10" s="473"/>
      <c r="Q10" s="473"/>
      <c r="R10" s="473"/>
      <c r="S10" s="305" t="s">
        <v>215</v>
      </c>
      <c r="T10" s="306"/>
      <c r="U10" s="306"/>
      <c r="V10" s="307"/>
    </row>
    <row r="11" spans="1:18" s="312" customFormat="1" ht="30.75" customHeight="1">
      <c r="A11" s="198" t="s">
        <v>216</v>
      </c>
      <c r="B11" s="198" t="s">
        <v>217</v>
      </c>
      <c r="C11" s="152">
        <v>3</v>
      </c>
      <c r="D11" s="152">
        <v>4</v>
      </c>
      <c r="E11" s="152">
        <v>5</v>
      </c>
      <c r="F11" s="152">
        <v>6</v>
      </c>
      <c r="G11" s="152">
        <v>7</v>
      </c>
      <c r="H11" s="152">
        <v>8</v>
      </c>
      <c r="I11" s="152">
        <v>9</v>
      </c>
      <c r="J11" s="309">
        <v>10</v>
      </c>
      <c r="K11" s="310"/>
      <c r="L11" s="310"/>
      <c r="M11" s="311"/>
      <c r="N11" s="311"/>
      <c r="O11" s="311"/>
      <c r="P11" s="310"/>
      <c r="Q11" s="310"/>
      <c r="R11" s="310"/>
    </row>
    <row r="12" spans="1:20" s="321" customFormat="1" ht="31.5" customHeight="1" hidden="1">
      <c r="A12" s="313" t="s">
        <v>40</v>
      </c>
      <c r="B12" s="314"/>
      <c r="C12" s="84"/>
      <c r="D12" s="315" t="s">
        <v>41</v>
      </c>
      <c r="E12" s="81"/>
      <c r="F12" s="84"/>
      <c r="G12" s="78"/>
      <c r="H12" s="78"/>
      <c r="I12" s="316">
        <f>I13</f>
        <v>0</v>
      </c>
      <c r="J12" s="317">
        <f>J13</f>
        <v>0</v>
      </c>
      <c r="K12" s="318"/>
      <c r="L12" s="318"/>
      <c r="M12" s="318"/>
      <c r="N12" s="318"/>
      <c r="O12" s="318"/>
      <c r="P12" s="318"/>
      <c r="Q12" s="318"/>
      <c r="R12" s="318"/>
      <c r="S12" s="319"/>
      <c r="T12" s="320"/>
    </row>
    <row r="13" spans="1:19" s="321" customFormat="1" ht="31.5" customHeight="1" hidden="1">
      <c r="A13" s="322" t="s">
        <v>42</v>
      </c>
      <c r="B13" s="314"/>
      <c r="C13" s="84"/>
      <c r="D13" s="315" t="s">
        <v>41</v>
      </c>
      <c r="E13" s="81"/>
      <c r="F13" s="84"/>
      <c r="G13" s="78"/>
      <c r="H13" s="78"/>
      <c r="I13" s="316">
        <f>I14+I17+I25</f>
        <v>0</v>
      </c>
      <c r="J13" s="317">
        <f>SUM(J23:J23)</f>
        <v>0</v>
      </c>
      <c r="K13" s="323"/>
      <c r="L13" s="323"/>
      <c r="M13" s="324"/>
      <c r="N13" s="324"/>
      <c r="O13" s="323"/>
      <c r="P13" s="323"/>
      <c r="Q13" s="323"/>
      <c r="R13" s="323"/>
      <c r="S13" s="325"/>
    </row>
    <row r="14" spans="1:19" s="321" customFormat="1" ht="31.5" customHeight="1" hidden="1">
      <c r="A14" s="80"/>
      <c r="B14" s="314" t="s">
        <v>240</v>
      </c>
      <c r="C14" s="84"/>
      <c r="D14" s="326" t="s">
        <v>241</v>
      </c>
      <c r="E14" s="81"/>
      <c r="F14" s="84"/>
      <c r="G14" s="78"/>
      <c r="H14" s="78"/>
      <c r="I14" s="78">
        <f>I15</f>
        <v>0</v>
      </c>
      <c r="J14" s="317"/>
      <c r="K14" s="323"/>
      <c r="L14" s="323"/>
      <c r="M14" s="324"/>
      <c r="N14" s="324"/>
      <c r="O14" s="323"/>
      <c r="P14" s="323"/>
      <c r="Q14" s="323"/>
      <c r="R14" s="323"/>
      <c r="S14" s="325"/>
    </row>
    <row r="15" spans="1:18" s="332" customFormat="1" ht="89.25" customHeight="1" hidden="1">
      <c r="A15" s="80" t="s">
        <v>43</v>
      </c>
      <c r="B15" s="80" t="s">
        <v>44</v>
      </c>
      <c r="C15" s="80" t="s">
        <v>45</v>
      </c>
      <c r="D15" s="327" t="s">
        <v>47</v>
      </c>
      <c r="E15" s="81"/>
      <c r="F15" s="84"/>
      <c r="G15" s="78"/>
      <c r="H15" s="78"/>
      <c r="I15" s="78">
        <f>I16</f>
        <v>0</v>
      </c>
      <c r="J15" s="317"/>
      <c r="K15" s="328"/>
      <c r="L15" s="328"/>
      <c r="M15" s="331"/>
      <c r="N15" s="331"/>
      <c r="O15" s="328"/>
      <c r="P15" s="328"/>
      <c r="Q15" s="328"/>
      <c r="R15" s="328"/>
    </row>
    <row r="16" spans="1:18" s="338" customFormat="1" ht="38.25" customHeight="1" hidden="1">
      <c r="A16" s="82"/>
      <c r="B16" s="82"/>
      <c r="C16" s="82"/>
      <c r="D16" s="333"/>
      <c r="E16" s="83"/>
      <c r="F16" s="334"/>
      <c r="G16" s="75"/>
      <c r="H16" s="75"/>
      <c r="I16" s="75"/>
      <c r="J16" s="335"/>
      <c r="K16" s="336"/>
      <c r="L16" s="336"/>
      <c r="M16" s="336"/>
      <c r="N16" s="337"/>
      <c r="O16" s="336"/>
      <c r="P16" s="336"/>
      <c r="Q16" s="336"/>
      <c r="R16" s="336"/>
    </row>
    <row r="17" spans="1:18" s="332" customFormat="1" ht="31.5" customHeight="1" hidden="1">
      <c r="A17" s="80"/>
      <c r="B17" s="80" t="s">
        <v>257</v>
      </c>
      <c r="C17" s="80"/>
      <c r="D17" s="81" t="s">
        <v>258</v>
      </c>
      <c r="E17" s="81"/>
      <c r="F17" s="84"/>
      <c r="G17" s="78"/>
      <c r="H17" s="78"/>
      <c r="I17" s="78">
        <f>I18+I23</f>
        <v>0</v>
      </c>
      <c r="J17" s="317"/>
      <c r="K17" s="328"/>
      <c r="L17" s="336"/>
      <c r="M17" s="331"/>
      <c r="N17" s="331"/>
      <c r="O17" s="328"/>
      <c r="P17" s="328"/>
      <c r="Q17" s="328"/>
      <c r="R17" s="328"/>
    </row>
    <row r="18" spans="1:18" s="332" customFormat="1" ht="31.5" customHeight="1" hidden="1">
      <c r="A18" s="80" t="s">
        <v>73</v>
      </c>
      <c r="B18" s="80" t="s">
        <v>74</v>
      </c>
      <c r="C18" s="80" t="s">
        <v>71</v>
      </c>
      <c r="D18" s="327" t="s">
        <v>75</v>
      </c>
      <c r="E18" s="81"/>
      <c r="F18" s="84"/>
      <c r="G18" s="78"/>
      <c r="H18" s="78"/>
      <c r="I18" s="78">
        <f>SUM(I19:I22)</f>
        <v>0</v>
      </c>
      <c r="J18" s="317"/>
      <c r="K18" s="328"/>
      <c r="L18" s="336"/>
      <c r="M18" s="331"/>
      <c r="N18" s="331"/>
      <c r="O18" s="328"/>
      <c r="P18" s="328"/>
      <c r="Q18" s="328"/>
      <c r="R18" s="328"/>
    </row>
    <row r="19" spans="1:18" s="338" customFormat="1" ht="46.5" customHeight="1" hidden="1">
      <c r="A19" s="82"/>
      <c r="B19" s="82"/>
      <c r="C19" s="82"/>
      <c r="D19" s="333"/>
      <c r="E19" s="339"/>
      <c r="F19" s="334"/>
      <c r="G19" s="75"/>
      <c r="H19" s="75"/>
      <c r="I19" s="75"/>
      <c r="J19" s="335"/>
      <c r="K19" s="336"/>
      <c r="L19" s="336"/>
      <c r="M19" s="337"/>
      <c r="N19" s="340"/>
      <c r="O19" s="336"/>
      <c r="P19" s="336"/>
      <c r="Q19" s="336"/>
      <c r="R19" s="336"/>
    </row>
    <row r="20" spans="1:18" s="338" customFormat="1" ht="104.25" customHeight="1" hidden="1">
      <c r="A20" s="82"/>
      <c r="B20" s="80"/>
      <c r="C20" s="80"/>
      <c r="D20" s="81"/>
      <c r="E20" s="339"/>
      <c r="F20" s="334"/>
      <c r="G20" s="75"/>
      <c r="H20" s="75"/>
      <c r="I20" s="75"/>
      <c r="J20" s="335"/>
      <c r="K20" s="336"/>
      <c r="L20" s="336"/>
      <c r="M20" s="336"/>
      <c r="N20" s="337"/>
      <c r="O20" s="336"/>
      <c r="P20" s="336"/>
      <c r="Q20" s="336"/>
      <c r="R20" s="336"/>
    </row>
    <row r="21" spans="1:18" s="338" customFormat="1" ht="42.75" customHeight="1" hidden="1">
      <c r="A21" s="82"/>
      <c r="B21" s="80"/>
      <c r="C21" s="80"/>
      <c r="D21" s="81"/>
      <c r="E21" s="339"/>
      <c r="F21" s="334"/>
      <c r="G21" s="75"/>
      <c r="H21" s="75"/>
      <c r="I21" s="75"/>
      <c r="J21" s="335"/>
      <c r="K21" s="336"/>
      <c r="L21" s="336"/>
      <c r="M21" s="337"/>
      <c r="N21" s="337"/>
      <c r="O21" s="336"/>
      <c r="P21" s="336"/>
      <c r="Q21" s="336"/>
      <c r="R21" s="336"/>
    </row>
    <row r="22" spans="1:18" s="338" customFormat="1" ht="43.5" customHeight="1" hidden="1">
      <c r="A22" s="82"/>
      <c r="B22" s="80"/>
      <c r="C22" s="80"/>
      <c r="D22" s="81"/>
      <c r="E22" s="339"/>
      <c r="F22" s="334" t="s">
        <v>366</v>
      </c>
      <c r="G22" s="75"/>
      <c r="H22" s="75"/>
      <c r="I22" s="75"/>
      <c r="J22" s="335"/>
      <c r="K22" s="336"/>
      <c r="L22" s="336"/>
      <c r="M22" s="336"/>
      <c r="N22" s="337"/>
      <c r="O22" s="336"/>
      <c r="P22" s="336"/>
      <c r="Q22" s="336"/>
      <c r="R22" s="336"/>
    </row>
    <row r="23" spans="1:18" s="332" customFormat="1" ht="42" customHeight="1" hidden="1">
      <c r="A23" s="314" t="s">
        <v>76</v>
      </c>
      <c r="B23" s="314" t="s">
        <v>77</v>
      </c>
      <c r="C23" s="314" t="s">
        <v>78</v>
      </c>
      <c r="D23" s="326" t="s">
        <v>79</v>
      </c>
      <c r="E23" s="70"/>
      <c r="F23" s="334" t="s">
        <v>367</v>
      </c>
      <c r="G23" s="78"/>
      <c r="H23" s="78"/>
      <c r="I23" s="78">
        <f>SUM(I24)</f>
        <v>0</v>
      </c>
      <c r="J23" s="317"/>
      <c r="K23" s="328"/>
      <c r="L23" s="336"/>
      <c r="M23" s="328"/>
      <c r="N23" s="331"/>
      <c r="O23" s="328"/>
      <c r="P23" s="328"/>
      <c r="Q23" s="328"/>
      <c r="R23" s="328"/>
    </row>
    <row r="24" spans="1:18" s="325" customFormat="1" ht="42" customHeight="1" hidden="1">
      <c r="A24" s="341"/>
      <c r="B24" s="341"/>
      <c r="C24" s="341"/>
      <c r="D24" s="342"/>
      <c r="E24" s="71" t="s">
        <v>79</v>
      </c>
      <c r="F24" s="334" t="s">
        <v>368</v>
      </c>
      <c r="G24" s="75">
        <f>300000-300000</f>
        <v>0</v>
      </c>
      <c r="H24" s="75"/>
      <c r="I24" s="75">
        <f>300000-300000</f>
        <v>0</v>
      </c>
      <c r="J24" s="335"/>
      <c r="K24" s="323"/>
      <c r="L24" s="336"/>
      <c r="M24" s="323"/>
      <c r="N24" s="324"/>
      <c r="O24" s="323"/>
      <c r="P24" s="323"/>
      <c r="Q24" s="323"/>
      <c r="R24" s="323"/>
    </row>
    <row r="25" spans="1:18" s="332" customFormat="1" ht="42" customHeight="1" hidden="1">
      <c r="A25" s="314"/>
      <c r="B25" s="80" t="s">
        <v>259</v>
      </c>
      <c r="C25" s="80"/>
      <c r="D25" s="327" t="s">
        <v>260</v>
      </c>
      <c r="E25" s="70"/>
      <c r="F25" s="84"/>
      <c r="G25" s="78"/>
      <c r="H25" s="78"/>
      <c r="I25" s="78">
        <f>I26+I28+I33+I37+I39+I41+I35</f>
        <v>0</v>
      </c>
      <c r="J25" s="317"/>
      <c r="K25" s="328"/>
      <c r="L25" s="336"/>
      <c r="M25" s="328"/>
      <c r="N25" s="331"/>
      <c r="O25" s="328"/>
      <c r="P25" s="328"/>
      <c r="Q25" s="328"/>
      <c r="R25" s="328"/>
    </row>
    <row r="26" spans="1:18" s="332" customFormat="1" ht="31.5" customHeight="1" hidden="1">
      <c r="A26" s="314" t="s">
        <v>559</v>
      </c>
      <c r="B26" s="314" t="s">
        <v>560</v>
      </c>
      <c r="C26" s="314" t="s">
        <v>226</v>
      </c>
      <c r="D26" s="326" t="s">
        <v>561</v>
      </c>
      <c r="E26" s="70"/>
      <c r="F26" s="84"/>
      <c r="G26" s="78"/>
      <c r="H26" s="78"/>
      <c r="I26" s="78">
        <f>I27</f>
        <v>0</v>
      </c>
      <c r="J26" s="317"/>
      <c r="K26" s="328"/>
      <c r="L26" s="336"/>
      <c r="M26" s="328"/>
      <c r="N26" s="331"/>
      <c r="O26" s="328"/>
      <c r="P26" s="328"/>
      <c r="Q26" s="328"/>
      <c r="R26" s="328"/>
    </row>
    <row r="27" spans="1:18" s="325" customFormat="1" ht="83.25" customHeight="1" hidden="1">
      <c r="A27" s="341"/>
      <c r="B27" s="341"/>
      <c r="C27" s="341"/>
      <c r="D27" s="342"/>
      <c r="E27" s="71" t="s">
        <v>520</v>
      </c>
      <c r="F27" s="334" t="s">
        <v>517</v>
      </c>
      <c r="G27" s="343">
        <v>236987927</v>
      </c>
      <c r="H27" s="343">
        <v>39497988</v>
      </c>
      <c r="I27" s="75"/>
      <c r="J27" s="335"/>
      <c r="K27" s="323"/>
      <c r="L27" s="336"/>
      <c r="M27" s="323"/>
      <c r="N27" s="324"/>
      <c r="O27" s="323"/>
      <c r="P27" s="323"/>
      <c r="Q27" s="323"/>
      <c r="R27" s="323"/>
    </row>
    <row r="28" spans="1:18" s="332" customFormat="1" ht="52.5" customHeight="1" hidden="1">
      <c r="A28" s="80" t="s">
        <v>556</v>
      </c>
      <c r="B28" s="80" t="s">
        <v>557</v>
      </c>
      <c r="C28" s="80" t="s">
        <v>93</v>
      </c>
      <c r="D28" s="327" t="s">
        <v>558</v>
      </c>
      <c r="E28" s="70"/>
      <c r="F28" s="84"/>
      <c r="G28" s="78"/>
      <c r="H28" s="78"/>
      <c r="I28" s="78">
        <f>SUM(I29:I32)</f>
        <v>0</v>
      </c>
      <c r="J28" s="317"/>
      <c r="K28" s="328"/>
      <c r="L28" s="336"/>
      <c r="M28" s="328"/>
      <c r="N28" s="331"/>
      <c r="O28" s="328"/>
      <c r="P28" s="328"/>
      <c r="Q28" s="328"/>
      <c r="R28" s="328"/>
    </row>
    <row r="29" spans="1:18" s="325" customFormat="1" ht="70.5" customHeight="1" hidden="1">
      <c r="A29" s="341"/>
      <c r="B29" s="341"/>
      <c r="C29" s="341"/>
      <c r="D29" s="342"/>
      <c r="E29" s="71" t="s">
        <v>521</v>
      </c>
      <c r="F29" s="334" t="s">
        <v>517</v>
      </c>
      <c r="G29" s="343">
        <v>236987927</v>
      </c>
      <c r="H29" s="75"/>
      <c r="I29" s="75"/>
      <c r="J29" s="335"/>
      <c r="K29" s="323"/>
      <c r="L29" s="336"/>
      <c r="M29" s="323"/>
      <c r="N29" s="324"/>
      <c r="O29" s="323"/>
      <c r="P29" s="323"/>
      <c r="Q29" s="323"/>
      <c r="R29" s="323"/>
    </row>
    <row r="30" spans="1:18" s="325" customFormat="1" ht="85.5" customHeight="1" hidden="1">
      <c r="A30" s="341"/>
      <c r="B30" s="341"/>
      <c r="C30" s="341"/>
      <c r="D30" s="342"/>
      <c r="E30" s="71"/>
      <c r="F30" s="334"/>
      <c r="G30" s="75"/>
      <c r="H30" s="75"/>
      <c r="I30" s="75"/>
      <c r="J30" s="335"/>
      <c r="K30" s="323"/>
      <c r="L30" s="336"/>
      <c r="M30" s="323"/>
      <c r="N30" s="324"/>
      <c r="O30" s="323"/>
      <c r="P30" s="323"/>
      <c r="Q30" s="323"/>
      <c r="R30" s="323"/>
    </row>
    <row r="31" spans="1:18" s="325" customFormat="1" ht="90" customHeight="1" hidden="1">
      <c r="A31" s="341"/>
      <c r="B31" s="341"/>
      <c r="C31" s="341"/>
      <c r="D31" s="342"/>
      <c r="E31" s="71"/>
      <c r="F31" s="334"/>
      <c r="G31" s="75"/>
      <c r="H31" s="75"/>
      <c r="I31" s="75"/>
      <c r="J31" s="335"/>
      <c r="K31" s="323"/>
      <c r="L31" s="336"/>
      <c r="M31" s="323"/>
      <c r="N31" s="324"/>
      <c r="O31" s="323"/>
      <c r="P31" s="323"/>
      <c r="Q31" s="323"/>
      <c r="R31" s="323"/>
    </row>
    <row r="32" spans="1:18" s="325" customFormat="1" ht="68.25" customHeight="1" hidden="1">
      <c r="A32" s="341"/>
      <c r="B32" s="341"/>
      <c r="C32" s="341"/>
      <c r="D32" s="342"/>
      <c r="E32" s="71"/>
      <c r="F32" s="334"/>
      <c r="G32" s="75"/>
      <c r="H32" s="75"/>
      <c r="I32" s="75"/>
      <c r="J32" s="335"/>
      <c r="K32" s="323"/>
      <c r="L32" s="336"/>
      <c r="M32" s="323"/>
      <c r="N32" s="324"/>
      <c r="O32" s="323"/>
      <c r="P32" s="323"/>
      <c r="Q32" s="323"/>
      <c r="R32" s="323"/>
    </row>
    <row r="33" spans="1:18" s="332" customFormat="1" ht="72" customHeight="1" hidden="1">
      <c r="A33" s="80" t="s">
        <v>263</v>
      </c>
      <c r="B33" s="80" t="s">
        <v>264</v>
      </c>
      <c r="C33" s="80" t="s">
        <v>93</v>
      </c>
      <c r="D33" s="327" t="s">
        <v>265</v>
      </c>
      <c r="E33" s="70"/>
      <c r="F33" s="84"/>
      <c r="G33" s="78"/>
      <c r="H33" s="78"/>
      <c r="I33" s="78">
        <f>SUM(I34)</f>
        <v>0</v>
      </c>
      <c r="J33" s="317"/>
      <c r="K33" s="328"/>
      <c r="L33" s="336"/>
      <c r="M33" s="328"/>
      <c r="N33" s="331"/>
      <c r="O33" s="328"/>
      <c r="P33" s="328"/>
      <c r="Q33" s="328"/>
      <c r="R33" s="328"/>
    </row>
    <row r="34" spans="1:18" s="325" customFormat="1" ht="141" customHeight="1" hidden="1">
      <c r="A34" s="341"/>
      <c r="B34" s="341"/>
      <c r="C34" s="341"/>
      <c r="D34" s="342"/>
      <c r="E34" s="71"/>
      <c r="F34" s="334"/>
      <c r="G34" s="75"/>
      <c r="H34" s="75"/>
      <c r="I34" s="75"/>
      <c r="J34" s="335"/>
      <c r="K34" s="323"/>
      <c r="L34" s="336"/>
      <c r="M34" s="323"/>
      <c r="N34" s="324"/>
      <c r="O34" s="344"/>
      <c r="P34" s="323"/>
      <c r="Q34" s="323"/>
      <c r="R34" s="323"/>
    </row>
    <row r="35" spans="1:18" s="332" customFormat="1" ht="45" customHeight="1" hidden="1">
      <c r="A35" s="80" t="s">
        <v>319</v>
      </c>
      <c r="B35" s="80" t="s">
        <v>320</v>
      </c>
      <c r="C35" s="80" t="s">
        <v>93</v>
      </c>
      <c r="D35" s="81" t="s">
        <v>321</v>
      </c>
      <c r="E35" s="70"/>
      <c r="F35" s="84"/>
      <c r="G35" s="78"/>
      <c r="H35" s="78"/>
      <c r="I35" s="78">
        <f>SUM(I36)</f>
        <v>0</v>
      </c>
      <c r="J35" s="317"/>
      <c r="K35" s="328"/>
      <c r="L35" s="336"/>
      <c r="M35" s="328"/>
      <c r="N35" s="331"/>
      <c r="O35" s="328"/>
      <c r="P35" s="328"/>
      <c r="Q35" s="328"/>
      <c r="R35" s="328"/>
    </row>
    <row r="36" spans="1:18" s="325" customFormat="1" ht="51" customHeight="1" hidden="1">
      <c r="A36" s="341"/>
      <c r="B36" s="341"/>
      <c r="C36" s="341"/>
      <c r="D36" s="342"/>
      <c r="E36" s="71"/>
      <c r="F36" s="334"/>
      <c r="G36" s="75"/>
      <c r="H36" s="75"/>
      <c r="I36" s="75"/>
      <c r="J36" s="335"/>
      <c r="K36" s="323"/>
      <c r="L36" s="336"/>
      <c r="M36" s="323"/>
      <c r="N36" s="324"/>
      <c r="O36" s="323"/>
      <c r="P36" s="323"/>
      <c r="Q36" s="323"/>
      <c r="R36" s="323"/>
    </row>
    <row r="37" spans="1:18" s="332" customFormat="1" ht="54.75" customHeight="1" hidden="1">
      <c r="A37" s="80" t="s">
        <v>84</v>
      </c>
      <c r="B37" s="80" t="s">
        <v>85</v>
      </c>
      <c r="C37" s="80" t="s">
        <v>86</v>
      </c>
      <c r="D37" s="81" t="s">
        <v>87</v>
      </c>
      <c r="E37" s="70"/>
      <c r="F37" s="84"/>
      <c r="G37" s="78"/>
      <c r="H37" s="78"/>
      <c r="I37" s="78">
        <f>SUM(I38)</f>
        <v>0</v>
      </c>
      <c r="J37" s="317"/>
      <c r="K37" s="328"/>
      <c r="L37" s="336"/>
      <c r="M37" s="328"/>
      <c r="N37" s="331"/>
      <c r="O37" s="328"/>
      <c r="P37" s="328"/>
      <c r="Q37" s="328"/>
      <c r="R37" s="328"/>
    </row>
    <row r="38" spans="1:18" s="325" customFormat="1" ht="27.75" customHeight="1" hidden="1">
      <c r="A38" s="341"/>
      <c r="B38" s="341"/>
      <c r="C38" s="341"/>
      <c r="D38" s="342"/>
      <c r="E38" s="71"/>
      <c r="F38" s="334"/>
      <c r="G38" s="75"/>
      <c r="H38" s="75"/>
      <c r="I38" s="75"/>
      <c r="J38" s="335"/>
      <c r="K38" s="323"/>
      <c r="L38" s="336"/>
      <c r="M38" s="323"/>
      <c r="N38" s="324"/>
      <c r="O38" s="323"/>
      <c r="P38" s="323"/>
      <c r="Q38" s="323"/>
      <c r="R38" s="323"/>
    </row>
    <row r="39" spans="1:18" s="332" customFormat="1" ht="60" customHeight="1" hidden="1">
      <c r="A39" s="80" t="s">
        <v>266</v>
      </c>
      <c r="B39" s="80" t="s">
        <v>267</v>
      </c>
      <c r="C39" s="80" t="s">
        <v>86</v>
      </c>
      <c r="D39" s="81" t="s">
        <v>268</v>
      </c>
      <c r="E39" s="70"/>
      <c r="F39" s="84"/>
      <c r="G39" s="78"/>
      <c r="H39" s="78"/>
      <c r="I39" s="78">
        <f>I40</f>
        <v>0</v>
      </c>
      <c r="J39" s="317"/>
      <c r="K39" s="328"/>
      <c r="L39" s="336"/>
      <c r="M39" s="328"/>
      <c r="N39" s="331"/>
      <c r="O39" s="328"/>
      <c r="P39" s="328"/>
      <c r="Q39" s="328"/>
      <c r="R39" s="328"/>
    </row>
    <row r="40" spans="1:18" s="325" customFormat="1" ht="39.75" customHeight="1" hidden="1">
      <c r="A40" s="341"/>
      <c r="B40" s="341"/>
      <c r="C40" s="341"/>
      <c r="D40" s="342"/>
      <c r="E40" s="71"/>
      <c r="F40" s="334"/>
      <c r="G40" s="75"/>
      <c r="H40" s="75"/>
      <c r="I40" s="75"/>
      <c r="J40" s="335"/>
      <c r="K40" s="323"/>
      <c r="L40" s="336"/>
      <c r="M40" s="323"/>
      <c r="N40" s="324"/>
      <c r="O40" s="323"/>
      <c r="P40" s="323"/>
      <c r="Q40" s="323"/>
      <c r="R40" s="323"/>
    </row>
    <row r="41" spans="1:18" s="332" customFormat="1" ht="43.5" customHeight="1" hidden="1">
      <c r="A41" s="80" t="s">
        <v>269</v>
      </c>
      <c r="B41" s="80" t="s">
        <v>270</v>
      </c>
      <c r="C41" s="80" t="s">
        <v>93</v>
      </c>
      <c r="D41" s="81" t="s">
        <v>271</v>
      </c>
      <c r="E41" s="70"/>
      <c r="F41" s="84"/>
      <c r="G41" s="78"/>
      <c r="H41" s="78"/>
      <c r="I41" s="78">
        <f>SUM(I42)</f>
        <v>0</v>
      </c>
      <c r="J41" s="317"/>
      <c r="K41" s="328"/>
      <c r="L41" s="336"/>
      <c r="M41" s="328"/>
      <c r="N41" s="331"/>
      <c r="O41" s="328"/>
      <c r="P41" s="328"/>
      <c r="Q41" s="328"/>
      <c r="R41" s="328"/>
    </row>
    <row r="42" spans="1:18" s="325" customFormat="1" ht="31.5" customHeight="1" hidden="1">
      <c r="A42" s="341"/>
      <c r="B42" s="341"/>
      <c r="C42" s="341"/>
      <c r="D42" s="342"/>
      <c r="E42" s="71"/>
      <c r="F42" s="334"/>
      <c r="G42" s="75"/>
      <c r="H42" s="75"/>
      <c r="I42" s="75"/>
      <c r="J42" s="335"/>
      <c r="K42" s="323"/>
      <c r="L42" s="336"/>
      <c r="M42" s="323"/>
      <c r="N42" s="323"/>
      <c r="O42" s="323"/>
      <c r="P42" s="323"/>
      <c r="Q42" s="323"/>
      <c r="R42" s="323"/>
    </row>
    <row r="43" spans="1:18" s="325" customFormat="1" ht="42.75" customHeight="1">
      <c r="A43" s="314" t="s">
        <v>103</v>
      </c>
      <c r="B43" s="341"/>
      <c r="C43" s="341"/>
      <c r="D43" s="81" t="s">
        <v>275</v>
      </c>
      <c r="E43" s="81"/>
      <c r="F43" s="334"/>
      <c r="G43" s="75"/>
      <c r="H43" s="75"/>
      <c r="I43" s="78">
        <f>I44</f>
        <v>2430500</v>
      </c>
      <c r="J43" s="335"/>
      <c r="K43" s="323"/>
      <c r="L43" s="336"/>
      <c r="M43" s="323"/>
      <c r="N43" s="323"/>
      <c r="O43" s="323"/>
      <c r="P43" s="323"/>
      <c r="Q43" s="323"/>
      <c r="R43" s="323"/>
    </row>
    <row r="44" spans="1:18" s="325" customFormat="1" ht="42.75" customHeight="1">
      <c r="A44" s="314" t="s">
        <v>104</v>
      </c>
      <c r="B44" s="341"/>
      <c r="C44" s="341"/>
      <c r="D44" s="81" t="s">
        <v>275</v>
      </c>
      <c r="E44" s="81"/>
      <c r="F44" s="334"/>
      <c r="G44" s="75"/>
      <c r="H44" s="75"/>
      <c r="I44" s="78">
        <f>I45+I63</f>
        <v>2430500</v>
      </c>
      <c r="J44" s="335"/>
      <c r="K44" s="323"/>
      <c r="L44" s="336"/>
      <c r="M44" s="323"/>
      <c r="N44" s="323"/>
      <c r="O44" s="323"/>
      <c r="P44" s="323"/>
      <c r="Q44" s="323"/>
      <c r="R44" s="323"/>
    </row>
    <row r="45" spans="1:18" s="332" customFormat="1" ht="42.75" customHeight="1">
      <c r="A45" s="314"/>
      <c r="B45" s="80" t="s">
        <v>276</v>
      </c>
      <c r="C45" s="80"/>
      <c r="D45" s="81" t="s">
        <v>277</v>
      </c>
      <c r="E45" s="81"/>
      <c r="F45" s="84"/>
      <c r="G45" s="78"/>
      <c r="H45" s="78"/>
      <c r="I45" s="78">
        <f>I49+I59+I61+I51+I57+I46+I55</f>
        <v>2430500</v>
      </c>
      <c r="J45" s="317"/>
      <c r="K45" s="328"/>
      <c r="L45" s="336"/>
      <c r="M45" s="328"/>
      <c r="N45" s="328"/>
      <c r="O45" s="328"/>
      <c r="P45" s="328"/>
      <c r="Q45" s="328"/>
      <c r="R45" s="328"/>
    </row>
    <row r="46" spans="1:18" s="332" customFormat="1" ht="42.75" customHeight="1">
      <c r="A46" s="80" t="s">
        <v>107</v>
      </c>
      <c r="B46" s="80" t="s">
        <v>108</v>
      </c>
      <c r="C46" s="80" t="s">
        <v>109</v>
      </c>
      <c r="D46" s="81" t="s">
        <v>110</v>
      </c>
      <c r="E46" s="81"/>
      <c r="F46" s="84"/>
      <c r="G46" s="78"/>
      <c r="H46" s="78"/>
      <c r="I46" s="78">
        <f>SUM(I47:I48)</f>
        <v>2180500</v>
      </c>
      <c r="J46" s="317"/>
      <c r="K46" s="328"/>
      <c r="L46" s="336"/>
      <c r="M46" s="328"/>
      <c r="N46" s="328"/>
      <c r="O46" s="328"/>
      <c r="P46" s="328"/>
      <c r="Q46" s="328"/>
      <c r="R46" s="328"/>
    </row>
    <row r="47" spans="1:18" s="338" customFormat="1" ht="57.75" customHeight="1">
      <c r="A47" s="82"/>
      <c r="B47" s="82"/>
      <c r="C47" s="82"/>
      <c r="D47" s="83"/>
      <c r="E47" s="83" t="s">
        <v>429</v>
      </c>
      <c r="F47" s="334">
        <v>2023</v>
      </c>
      <c r="G47" s="75">
        <f>900000+1200000</f>
        <v>2100000</v>
      </c>
      <c r="H47" s="75">
        <f>900000+1200000</f>
        <v>2100000</v>
      </c>
      <c r="I47" s="75">
        <f>900000+1200000</f>
        <v>2100000</v>
      </c>
      <c r="J47" s="335">
        <v>100</v>
      </c>
      <c r="K47" s="336"/>
      <c r="L47" s="336"/>
      <c r="M47" s="336"/>
      <c r="N47" s="336"/>
      <c r="O47" s="336"/>
      <c r="P47" s="336"/>
      <c r="Q47" s="336"/>
      <c r="R47" s="336"/>
    </row>
    <row r="48" spans="1:18" s="338" customFormat="1" ht="51" customHeight="1">
      <c r="A48" s="82"/>
      <c r="B48" s="82"/>
      <c r="C48" s="82"/>
      <c r="D48" s="83"/>
      <c r="E48" s="83" t="s">
        <v>230</v>
      </c>
      <c r="F48" s="334">
        <v>2023</v>
      </c>
      <c r="G48" s="75">
        <v>80500</v>
      </c>
      <c r="H48" s="75">
        <v>80500</v>
      </c>
      <c r="I48" s="75">
        <v>80500</v>
      </c>
      <c r="J48" s="335">
        <v>100</v>
      </c>
      <c r="K48" s="336"/>
      <c r="L48" s="336"/>
      <c r="M48" s="336"/>
      <c r="N48" s="336"/>
      <c r="O48" s="336"/>
      <c r="P48" s="336"/>
      <c r="Q48" s="336"/>
      <c r="R48" s="336"/>
    </row>
    <row r="49" spans="1:18" s="332" customFormat="1" ht="42.75" customHeight="1" hidden="1">
      <c r="A49" s="80" t="s">
        <v>111</v>
      </c>
      <c r="B49" s="80" t="s">
        <v>112</v>
      </c>
      <c r="C49" s="80" t="s">
        <v>113</v>
      </c>
      <c r="D49" s="81" t="s">
        <v>114</v>
      </c>
      <c r="E49" s="81"/>
      <c r="F49" s="84"/>
      <c r="G49" s="78"/>
      <c r="H49" s="78"/>
      <c r="I49" s="78">
        <f>SUM(I50)</f>
        <v>0</v>
      </c>
      <c r="J49" s="317"/>
      <c r="K49" s="328"/>
      <c r="L49" s="336"/>
      <c r="M49" s="328"/>
      <c r="N49" s="328"/>
      <c r="O49" s="328"/>
      <c r="P49" s="328"/>
      <c r="Q49" s="328"/>
      <c r="R49" s="328"/>
    </row>
    <row r="50" spans="1:18" s="338" customFormat="1" ht="42.75" customHeight="1" hidden="1">
      <c r="A50" s="82"/>
      <c r="B50" s="82"/>
      <c r="C50" s="82"/>
      <c r="D50" s="83"/>
      <c r="E50" s="83"/>
      <c r="F50" s="334"/>
      <c r="G50" s="75"/>
      <c r="H50" s="75"/>
      <c r="I50" s="75"/>
      <c r="J50" s="335"/>
      <c r="K50" s="336"/>
      <c r="L50" s="336"/>
      <c r="M50" s="336"/>
      <c r="N50" s="336"/>
      <c r="O50" s="336"/>
      <c r="P50" s="336"/>
      <c r="Q50" s="336"/>
      <c r="R50" s="336"/>
    </row>
    <row r="51" spans="1:18" s="338" customFormat="1" ht="60" customHeight="1" hidden="1">
      <c r="A51" s="80" t="s">
        <v>301</v>
      </c>
      <c r="B51" s="80" t="s">
        <v>302</v>
      </c>
      <c r="C51" s="80" t="s">
        <v>113</v>
      </c>
      <c r="D51" s="81" t="s">
        <v>370</v>
      </c>
      <c r="E51" s="81"/>
      <c r="F51" s="84"/>
      <c r="G51" s="78"/>
      <c r="H51" s="78"/>
      <c r="I51" s="78">
        <f>SUM(I52:I54)</f>
        <v>0</v>
      </c>
      <c r="J51" s="317"/>
      <c r="K51" s="336"/>
      <c r="L51" s="336"/>
      <c r="M51" s="336"/>
      <c r="N51" s="336"/>
      <c r="O51" s="336"/>
      <c r="P51" s="336"/>
      <c r="Q51" s="336"/>
      <c r="R51" s="336"/>
    </row>
    <row r="52" spans="1:18" s="338" customFormat="1" ht="60" customHeight="1" hidden="1">
      <c r="A52" s="82"/>
      <c r="B52" s="82"/>
      <c r="C52" s="82"/>
      <c r="D52" s="83"/>
      <c r="E52" s="345"/>
      <c r="F52" s="334"/>
      <c r="G52" s="75"/>
      <c r="H52" s="75"/>
      <c r="I52" s="75"/>
      <c r="J52" s="335"/>
      <c r="K52" s="336"/>
      <c r="L52" s="336"/>
      <c r="M52" s="336"/>
      <c r="N52" s="336"/>
      <c r="O52" s="336"/>
      <c r="P52" s="336"/>
      <c r="Q52" s="336"/>
      <c r="R52" s="336"/>
    </row>
    <row r="53" spans="1:18" s="338" customFormat="1" ht="68.25" customHeight="1" hidden="1">
      <c r="A53" s="82"/>
      <c r="B53" s="82"/>
      <c r="C53" s="82"/>
      <c r="D53" s="83"/>
      <c r="E53" s="346"/>
      <c r="F53" s="334"/>
      <c r="G53" s="75"/>
      <c r="H53" s="75"/>
      <c r="I53" s="75"/>
      <c r="J53" s="335"/>
      <c r="K53" s="336"/>
      <c r="L53" s="336"/>
      <c r="M53" s="336"/>
      <c r="N53" s="336"/>
      <c r="O53" s="336"/>
      <c r="P53" s="336"/>
      <c r="Q53" s="336"/>
      <c r="R53" s="336"/>
    </row>
    <row r="54" spans="1:18" s="338" customFormat="1" ht="68.25" customHeight="1" hidden="1">
      <c r="A54" s="82"/>
      <c r="B54" s="82"/>
      <c r="C54" s="82"/>
      <c r="D54" s="83"/>
      <c r="E54" s="346"/>
      <c r="F54" s="334"/>
      <c r="G54" s="75"/>
      <c r="H54" s="75"/>
      <c r="I54" s="75"/>
      <c r="J54" s="335"/>
      <c r="K54" s="336"/>
      <c r="L54" s="336"/>
      <c r="M54" s="336"/>
      <c r="N54" s="336"/>
      <c r="O54" s="336"/>
      <c r="P54" s="336"/>
      <c r="Q54" s="336"/>
      <c r="R54" s="336"/>
    </row>
    <row r="55" spans="1:18" s="338" customFormat="1" ht="54.75" customHeight="1">
      <c r="A55" s="80" t="s">
        <v>371</v>
      </c>
      <c r="B55" s="80" t="s">
        <v>121</v>
      </c>
      <c r="C55" s="80" t="s">
        <v>122</v>
      </c>
      <c r="D55" s="81" t="s">
        <v>123</v>
      </c>
      <c r="E55" s="81"/>
      <c r="F55" s="84"/>
      <c r="G55" s="78"/>
      <c r="H55" s="78"/>
      <c r="I55" s="78">
        <f>SUM(I56)</f>
        <v>250000</v>
      </c>
      <c r="J55" s="317"/>
      <c r="K55" s="336"/>
      <c r="L55" s="336"/>
      <c r="M55" s="336"/>
      <c r="N55" s="336"/>
      <c r="O55" s="336"/>
      <c r="P55" s="336"/>
      <c r="Q55" s="336"/>
      <c r="R55" s="336"/>
    </row>
    <row r="56" spans="1:18" s="338" customFormat="1" ht="34.5" customHeight="1">
      <c r="A56" s="82"/>
      <c r="B56" s="82"/>
      <c r="C56" s="82"/>
      <c r="D56" s="83"/>
      <c r="E56" s="345" t="s">
        <v>513</v>
      </c>
      <c r="F56" s="334">
        <v>2023</v>
      </c>
      <c r="G56" s="75">
        <v>250000</v>
      </c>
      <c r="H56" s="75">
        <v>250000</v>
      </c>
      <c r="I56" s="75">
        <v>250000</v>
      </c>
      <c r="J56" s="335">
        <v>100</v>
      </c>
      <c r="K56" s="336"/>
      <c r="L56" s="336"/>
      <c r="M56" s="336"/>
      <c r="N56" s="336"/>
      <c r="O56" s="336"/>
      <c r="P56" s="336"/>
      <c r="Q56" s="336"/>
      <c r="R56" s="336"/>
    </row>
    <row r="57" spans="1:18" s="338" customFormat="1" ht="104.25" customHeight="1" hidden="1">
      <c r="A57" s="80" t="s">
        <v>278</v>
      </c>
      <c r="B57" s="80" t="s">
        <v>280</v>
      </c>
      <c r="C57" s="80" t="s">
        <v>122</v>
      </c>
      <c r="D57" s="81" t="s">
        <v>282</v>
      </c>
      <c r="E57" s="81"/>
      <c r="F57" s="84"/>
      <c r="G57" s="78"/>
      <c r="H57" s="78"/>
      <c r="I57" s="78">
        <f>SUM(I58)</f>
        <v>0</v>
      </c>
      <c r="J57" s="317"/>
      <c r="K57" s="336"/>
      <c r="L57" s="336"/>
      <c r="M57" s="336"/>
      <c r="N57" s="336"/>
      <c r="O57" s="336"/>
      <c r="P57" s="336"/>
      <c r="Q57" s="336"/>
      <c r="R57" s="336"/>
    </row>
    <row r="58" spans="1:18" s="338" customFormat="1" ht="42.75" customHeight="1" hidden="1">
      <c r="A58" s="82"/>
      <c r="B58" s="82"/>
      <c r="C58" s="82"/>
      <c r="D58" s="83"/>
      <c r="E58" s="83"/>
      <c r="F58" s="334"/>
      <c r="G58" s="75"/>
      <c r="H58" s="75"/>
      <c r="I58" s="75"/>
      <c r="J58" s="335"/>
      <c r="K58" s="336"/>
      <c r="L58" s="336"/>
      <c r="M58" s="336"/>
      <c r="N58" s="336"/>
      <c r="O58" s="336"/>
      <c r="P58" s="336"/>
      <c r="Q58" s="336"/>
      <c r="R58" s="336"/>
    </row>
    <row r="59" spans="1:18" s="332" customFormat="1" ht="78" customHeight="1" hidden="1">
      <c r="A59" s="80" t="s">
        <v>279</v>
      </c>
      <c r="B59" s="80" t="s">
        <v>281</v>
      </c>
      <c r="C59" s="80" t="s">
        <v>122</v>
      </c>
      <c r="D59" s="327" t="s">
        <v>283</v>
      </c>
      <c r="E59" s="81"/>
      <c r="F59" s="84"/>
      <c r="G59" s="78"/>
      <c r="H59" s="78"/>
      <c r="I59" s="78">
        <f>SUM(I60)</f>
        <v>0</v>
      </c>
      <c r="J59" s="317"/>
      <c r="K59" s="328"/>
      <c r="L59" s="336"/>
      <c r="M59" s="328"/>
      <c r="N59" s="328"/>
      <c r="O59" s="328"/>
      <c r="P59" s="328"/>
      <c r="Q59" s="328"/>
      <c r="R59" s="328"/>
    </row>
    <row r="60" spans="1:18" s="338" customFormat="1" ht="53.25" customHeight="1" hidden="1">
      <c r="A60" s="82"/>
      <c r="B60" s="82"/>
      <c r="C60" s="82"/>
      <c r="D60" s="83"/>
      <c r="E60" s="83"/>
      <c r="F60" s="334"/>
      <c r="G60" s="75"/>
      <c r="H60" s="75"/>
      <c r="I60" s="75"/>
      <c r="J60" s="335"/>
      <c r="K60" s="336"/>
      <c r="L60" s="336"/>
      <c r="M60" s="336"/>
      <c r="N60" s="336"/>
      <c r="O60" s="336"/>
      <c r="P60" s="336"/>
      <c r="Q60" s="336"/>
      <c r="R60" s="336"/>
    </row>
    <row r="61" spans="1:18" s="349" customFormat="1" ht="65.25" customHeight="1" hidden="1">
      <c r="A61" s="314" t="s">
        <v>136</v>
      </c>
      <c r="B61" s="314" t="s">
        <v>137</v>
      </c>
      <c r="C61" s="314" t="s">
        <v>122</v>
      </c>
      <c r="D61" s="327" t="s">
        <v>138</v>
      </c>
      <c r="E61" s="70"/>
      <c r="F61" s="84"/>
      <c r="G61" s="78"/>
      <c r="H61" s="78"/>
      <c r="I61" s="78"/>
      <c r="J61" s="347"/>
      <c r="K61" s="348"/>
      <c r="L61" s="336"/>
      <c r="M61" s="348"/>
      <c r="N61" s="348"/>
      <c r="O61" s="348"/>
      <c r="P61" s="348"/>
      <c r="Q61" s="348"/>
      <c r="R61" s="348"/>
    </row>
    <row r="62" spans="1:18" s="352" customFormat="1" ht="31.5" customHeight="1" hidden="1">
      <c r="A62" s="341"/>
      <c r="B62" s="341"/>
      <c r="C62" s="341"/>
      <c r="D62" s="333"/>
      <c r="E62" s="71"/>
      <c r="F62" s="334"/>
      <c r="G62" s="75"/>
      <c r="H62" s="75"/>
      <c r="I62" s="75"/>
      <c r="J62" s="350"/>
      <c r="K62" s="351"/>
      <c r="L62" s="336"/>
      <c r="M62" s="351"/>
      <c r="N62" s="351"/>
      <c r="O62" s="351"/>
      <c r="P62" s="351"/>
      <c r="Q62" s="351"/>
      <c r="R62" s="351"/>
    </row>
    <row r="63" spans="1:18" s="332" customFormat="1" ht="42" customHeight="1" hidden="1">
      <c r="A63" s="314"/>
      <c r="B63" s="201" t="s">
        <v>259</v>
      </c>
      <c r="C63" s="201"/>
      <c r="D63" s="203" t="s">
        <v>260</v>
      </c>
      <c r="E63" s="70"/>
      <c r="F63" s="84"/>
      <c r="G63" s="78"/>
      <c r="H63" s="78"/>
      <c r="I63" s="78">
        <f>I64</f>
        <v>0</v>
      </c>
      <c r="J63" s="317"/>
      <c r="K63" s="328"/>
      <c r="L63" s="336"/>
      <c r="M63" s="328"/>
      <c r="N63" s="331"/>
      <c r="O63" s="328"/>
      <c r="P63" s="328"/>
      <c r="Q63" s="328"/>
      <c r="R63" s="328"/>
    </row>
    <row r="64" spans="1:18" s="352" customFormat="1" ht="68.25" customHeight="1" hidden="1">
      <c r="A64" s="80" t="s">
        <v>296</v>
      </c>
      <c r="B64" s="80" t="s">
        <v>261</v>
      </c>
      <c r="C64" s="80" t="s">
        <v>93</v>
      </c>
      <c r="D64" s="327" t="s">
        <v>262</v>
      </c>
      <c r="E64" s="70"/>
      <c r="F64" s="84"/>
      <c r="G64" s="78"/>
      <c r="H64" s="78"/>
      <c r="I64" s="78">
        <f>SUM(I65:I67)</f>
        <v>0</v>
      </c>
      <c r="J64" s="317"/>
      <c r="K64" s="351"/>
      <c r="L64" s="336"/>
      <c r="M64" s="351"/>
      <c r="N64" s="351"/>
      <c r="O64" s="351"/>
      <c r="P64" s="351"/>
      <c r="Q64" s="351"/>
      <c r="R64" s="351"/>
    </row>
    <row r="65" spans="1:18" s="352" customFormat="1" ht="43.5" customHeight="1" hidden="1">
      <c r="A65" s="341"/>
      <c r="B65" s="341"/>
      <c r="C65" s="341"/>
      <c r="D65" s="342"/>
      <c r="E65" s="71"/>
      <c r="F65" s="334"/>
      <c r="G65" s="75"/>
      <c r="H65" s="75"/>
      <c r="I65" s="75"/>
      <c r="J65" s="335"/>
      <c r="K65" s="351"/>
      <c r="L65" s="336"/>
      <c r="M65" s="351"/>
      <c r="N65" s="351"/>
      <c r="O65" s="351"/>
      <c r="P65" s="351"/>
      <c r="Q65" s="351"/>
      <c r="R65" s="351"/>
    </row>
    <row r="66" spans="1:18" s="352" customFormat="1" ht="43.5" customHeight="1" hidden="1">
      <c r="A66" s="341"/>
      <c r="B66" s="341"/>
      <c r="C66" s="341"/>
      <c r="D66" s="342"/>
      <c r="E66" s="71"/>
      <c r="F66" s="334"/>
      <c r="G66" s="75"/>
      <c r="H66" s="75"/>
      <c r="I66" s="75"/>
      <c r="J66" s="335"/>
      <c r="K66" s="351"/>
      <c r="L66" s="336"/>
      <c r="M66" s="351"/>
      <c r="N66" s="351"/>
      <c r="O66" s="351"/>
      <c r="P66" s="351"/>
      <c r="Q66" s="351"/>
      <c r="R66" s="351"/>
    </row>
    <row r="67" spans="1:18" s="352" customFormat="1" ht="47.25" customHeight="1" hidden="1">
      <c r="A67" s="341"/>
      <c r="B67" s="341"/>
      <c r="C67" s="341"/>
      <c r="D67" s="342"/>
      <c r="E67" s="71"/>
      <c r="F67" s="334"/>
      <c r="G67" s="75"/>
      <c r="H67" s="75"/>
      <c r="I67" s="75"/>
      <c r="J67" s="335"/>
      <c r="K67" s="351"/>
      <c r="L67" s="336"/>
      <c r="M67" s="351"/>
      <c r="N67" s="351"/>
      <c r="O67" s="351"/>
      <c r="P67" s="351"/>
      <c r="Q67" s="351"/>
      <c r="R67" s="351"/>
    </row>
    <row r="68" spans="1:19" s="355" customFormat="1" ht="39" customHeight="1" hidden="1">
      <c r="A68" s="314" t="s">
        <v>177</v>
      </c>
      <c r="B68" s="314"/>
      <c r="C68" s="314"/>
      <c r="D68" s="81" t="s">
        <v>292</v>
      </c>
      <c r="E68" s="81"/>
      <c r="F68" s="84"/>
      <c r="G68" s="78"/>
      <c r="H68" s="78"/>
      <c r="I68" s="78">
        <f>I69</f>
        <v>0</v>
      </c>
      <c r="J68" s="347"/>
      <c r="K68" s="353"/>
      <c r="L68" s="336"/>
      <c r="M68" s="353"/>
      <c r="N68" s="353"/>
      <c r="O68" s="353"/>
      <c r="P68" s="353"/>
      <c r="Q68" s="353"/>
      <c r="R68" s="353"/>
      <c r="S68" s="354"/>
    </row>
    <row r="69" spans="1:19" s="355" customFormat="1" ht="39" customHeight="1" hidden="1">
      <c r="A69" s="314" t="s">
        <v>178</v>
      </c>
      <c r="B69" s="314"/>
      <c r="C69" s="314"/>
      <c r="D69" s="81" t="s">
        <v>292</v>
      </c>
      <c r="E69" s="81"/>
      <c r="F69" s="84"/>
      <c r="G69" s="78"/>
      <c r="H69" s="78"/>
      <c r="I69" s="78">
        <f>I73+I70</f>
        <v>0</v>
      </c>
      <c r="J69" s="347"/>
      <c r="K69" s="353"/>
      <c r="L69" s="336"/>
      <c r="M69" s="353"/>
      <c r="N69" s="353"/>
      <c r="O69" s="353"/>
      <c r="P69" s="353"/>
      <c r="Q69" s="353"/>
      <c r="R69" s="353"/>
      <c r="S69" s="354"/>
    </row>
    <row r="70" spans="1:19" s="321" customFormat="1" ht="31.5" customHeight="1" hidden="1">
      <c r="A70" s="80"/>
      <c r="B70" s="314" t="s">
        <v>240</v>
      </c>
      <c r="C70" s="84"/>
      <c r="D70" s="326" t="s">
        <v>241</v>
      </c>
      <c r="E70" s="81"/>
      <c r="F70" s="84"/>
      <c r="G70" s="78"/>
      <c r="H70" s="78"/>
      <c r="I70" s="78">
        <f>I71</f>
        <v>0</v>
      </c>
      <c r="J70" s="317"/>
      <c r="K70" s="323"/>
      <c r="L70" s="336"/>
      <c r="M70" s="324"/>
      <c r="N70" s="324"/>
      <c r="O70" s="323"/>
      <c r="P70" s="323"/>
      <c r="Q70" s="323"/>
      <c r="R70" s="323"/>
      <c r="S70" s="325"/>
    </row>
    <row r="71" spans="1:18" s="332" customFormat="1" ht="74.25" customHeight="1" hidden="1">
      <c r="A71" s="80" t="s">
        <v>179</v>
      </c>
      <c r="B71" s="80" t="s">
        <v>106</v>
      </c>
      <c r="C71" s="80" t="s">
        <v>45</v>
      </c>
      <c r="D71" s="327" t="s">
        <v>372</v>
      </c>
      <c r="E71" s="81"/>
      <c r="F71" s="84"/>
      <c r="G71" s="78"/>
      <c r="H71" s="78"/>
      <c r="I71" s="78">
        <f>I72</f>
        <v>0</v>
      </c>
      <c r="J71" s="317"/>
      <c r="K71" s="328"/>
      <c r="L71" s="336"/>
      <c r="M71" s="331"/>
      <c r="N71" s="331"/>
      <c r="O71" s="328"/>
      <c r="P71" s="328"/>
      <c r="Q71" s="328"/>
      <c r="R71" s="328"/>
    </row>
    <row r="72" spans="1:18" s="338" customFormat="1" ht="45" customHeight="1" hidden="1">
      <c r="A72" s="82"/>
      <c r="B72" s="82"/>
      <c r="C72" s="82"/>
      <c r="D72" s="333"/>
      <c r="E72" s="339"/>
      <c r="F72" s="334"/>
      <c r="G72" s="75"/>
      <c r="H72" s="75"/>
      <c r="I72" s="75"/>
      <c r="J72" s="335"/>
      <c r="K72" s="336"/>
      <c r="L72" s="336"/>
      <c r="M72" s="336"/>
      <c r="N72" s="337"/>
      <c r="O72" s="336"/>
      <c r="P72" s="336"/>
      <c r="Q72" s="336"/>
      <c r="R72" s="336"/>
    </row>
    <row r="73" spans="1:19" s="355" customFormat="1" ht="39" customHeight="1" hidden="1">
      <c r="A73" s="314"/>
      <c r="B73" s="201" t="s">
        <v>293</v>
      </c>
      <c r="C73" s="201"/>
      <c r="D73" s="117" t="s">
        <v>294</v>
      </c>
      <c r="E73" s="81"/>
      <c r="F73" s="84"/>
      <c r="G73" s="78"/>
      <c r="H73" s="78"/>
      <c r="I73" s="78">
        <f>I74</f>
        <v>0</v>
      </c>
      <c r="J73" s="347"/>
      <c r="K73" s="353"/>
      <c r="L73" s="336"/>
      <c r="M73" s="353"/>
      <c r="N73" s="353"/>
      <c r="O73" s="353"/>
      <c r="P73" s="353"/>
      <c r="Q73" s="353"/>
      <c r="R73" s="353"/>
      <c r="S73" s="354"/>
    </row>
    <row r="74" spans="1:18" s="349" customFormat="1" ht="43.5" customHeight="1" hidden="1">
      <c r="A74" s="76" t="s">
        <v>340</v>
      </c>
      <c r="B74" s="77">
        <v>9770</v>
      </c>
      <c r="C74" s="76" t="s">
        <v>49</v>
      </c>
      <c r="D74" s="81" t="s">
        <v>342</v>
      </c>
      <c r="E74" s="70"/>
      <c r="F74" s="84"/>
      <c r="G74" s="78"/>
      <c r="H74" s="78"/>
      <c r="I74" s="78">
        <f>SUM(I75:I77)</f>
        <v>0</v>
      </c>
      <c r="J74" s="79"/>
      <c r="K74" s="348"/>
      <c r="L74" s="336"/>
      <c r="M74" s="348"/>
      <c r="N74" s="348"/>
      <c r="O74" s="348"/>
      <c r="P74" s="348"/>
      <c r="Q74" s="348"/>
      <c r="R74" s="348"/>
    </row>
    <row r="75" spans="1:19" s="355" customFormat="1" ht="37.5" customHeight="1" hidden="1">
      <c r="A75" s="72"/>
      <c r="B75" s="73"/>
      <c r="C75" s="72"/>
      <c r="D75" s="71"/>
      <c r="E75" s="71" t="s">
        <v>525</v>
      </c>
      <c r="F75" s="334"/>
      <c r="G75" s="75"/>
      <c r="H75" s="75"/>
      <c r="I75" s="75"/>
      <c r="J75" s="74"/>
      <c r="K75" s="353"/>
      <c r="L75" s="336"/>
      <c r="M75" s="353"/>
      <c r="N75" s="353"/>
      <c r="O75" s="353"/>
      <c r="P75" s="353"/>
      <c r="Q75" s="353"/>
      <c r="R75" s="356"/>
      <c r="S75" s="354"/>
    </row>
    <row r="76" spans="1:19" s="355" customFormat="1" ht="37.5" customHeight="1" hidden="1">
      <c r="A76" s="72"/>
      <c r="B76" s="73"/>
      <c r="C76" s="72"/>
      <c r="D76" s="71"/>
      <c r="E76" s="71"/>
      <c r="F76" s="334"/>
      <c r="G76" s="75"/>
      <c r="H76" s="75"/>
      <c r="I76" s="75"/>
      <c r="J76" s="74"/>
      <c r="K76" s="353"/>
      <c r="L76" s="336"/>
      <c r="M76" s="353"/>
      <c r="N76" s="353"/>
      <c r="O76" s="353"/>
      <c r="P76" s="353"/>
      <c r="Q76" s="353"/>
      <c r="R76" s="356"/>
      <c r="S76" s="354"/>
    </row>
    <row r="77" spans="1:19" s="355" customFormat="1" ht="37.5" customHeight="1" hidden="1">
      <c r="A77" s="72"/>
      <c r="B77" s="73"/>
      <c r="C77" s="72"/>
      <c r="D77" s="71"/>
      <c r="E77" s="71"/>
      <c r="F77" s="334"/>
      <c r="G77" s="75">
        <f>280000-280000</f>
        <v>0</v>
      </c>
      <c r="H77" s="75"/>
      <c r="I77" s="75">
        <f>280000-280000</f>
        <v>0</v>
      </c>
      <c r="J77" s="74">
        <v>100</v>
      </c>
      <c r="K77" s="353"/>
      <c r="L77" s="336"/>
      <c r="M77" s="353"/>
      <c r="N77" s="353"/>
      <c r="O77" s="353"/>
      <c r="P77" s="353"/>
      <c r="Q77" s="353"/>
      <c r="R77" s="356"/>
      <c r="S77" s="354"/>
    </row>
    <row r="78" spans="1:18" s="362" customFormat="1" ht="33" customHeight="1">
      <c r="A78" s="357" t="s">
        <v>1</v>
      </c>
      <c r="B78" s="357" t="s">
        <v>1</v>
      </c>
      <c r="C78" s="357" t="s">
        <v>1</v>
      </c>
      <c r="D78" s="358" t="s">
        <v>183</v>
      </c>
      <c r="E78" s="357" t="s">
        <v>1</v>
      </c>
      <c r="F78" s="357" t="s">
        <v>1</v>
      </c>
      <c r="G78" s="359"/>
      <c r="H78" s="359"/>
      <c r="I78" s="360">
        <f>I12+I43+I68</f>
        <v>2430500</v>
      </c>
      <c r="J78" s="357" t="s">
        <v>1</v>
      </c>
      <c r="K78" s="361"/>
      <c r="L78" s="336"/>
      <c r="M78" s="361"/>
      <c r="N78" s="361"/>
      <c r="O78" s="361"/>
      <c r="P78" s="361"/>
      <c r="Q78" s="361"/>
      <c r="R78" s="361"/>
    </row>
    <row r="79" spans="1:18" s="277" customFormat="1" ht="18.75">
      <c r="A79" s="363"/>
      <c r="B79" s="363"/>
      <c r="C79" s="363"/>
      <c r="D79" s="364"/>
      <c r="E79" s="365"/>
      <c r="F79" s="363"/>
      <c r="G79" s="365"/>
      <c r="H79" s="365"/>
      <c r="I79" s="366"/>
      <c r="J79" s="367"/>
      <c r="K79" s="368"/>
      <c r="L79" s="368"/>
      <c r="M79" s="369"/>
      <c r="N79" s="368"/>
      <c r="O79" s="368"/>
      <c r="P79" s="368"/>
      <c r="Q79" s="368"/>
      <c r="R79" s="370"/>
    </row>
    <row r="80" spans="1:12" s="277" customFormat="1" ht="39.75" customHeight="1">
      <c r="A80" s="468" t="str">
        <f>додаток1!A132</f>
        <v>Секретар міської ради                                                                        Наталія  ІВАНЮТА</v>
      </c>
      <c r="B80" s="468"/>
      <c r="C80" s="468"/>
      <c r="D80" s="468"/>
      <c r="E80" s="468"/>
      <c r="F80" s="468"/>
      <c r="G80" s="468"/>
      <c r="H80" s="468"/>
      <c r="I80" s="468"/>
      <c r="J80" s="468"/>
      <c r="K80" s="370"/>
      <c r="L80" s="370"/>
    </row>
    <row r="81" spans="1:10" s="277" customFormat="1" ht="21">
      <c r="A81" s="294"/>
      <c r="B81" s="294"/>
      <c r="C81" s="294"/>
      <c r="D81" s="295"/>
      <c r="E81" s="299"/>
      <c r="F81" s="294"/>
      <c r="G81" s="299"/>
      <c r="H81" s="299"/>
      <c r="I81" s="299"/>
      <c r="J81" s="371"/>
    </row>
    <row r="82" spans="1:10" s="277" customFormat="1" ht="21">
      <c r="A82" s="294"/>
      <c r="B82" s="294"/>
      <c r="C82" s="294"/>
      <c r="D82" s="295"/>
      <c r="E82" s="299"/>
      <c r="F82" s="294"/>
      <c r="G82" s="299"/>
      <c r="H82" s="299"/>
      <c r="I82" s="299"/>
      <c r="J82" s="299"/>
    </row>
    <row r="83" spans="1:10" s="277" customFormat="1" ht="21">
      <c r="A83" s="294"/>
      <c r="B83" s="294"/>
      <c r="C83" s="294"/>
      <c r="D83" s="295"/>
      <c r="E83" s="299"/>
      <c r="F83" s="294"/>
      <c r="G83" s="299"/>
      <c r="H83" s="299"/>
      <c r="I83" s="299"/>
      <c r="J83" s="299"/>
    </row>
    <row r="84" spans="1:10" s="277" customFormat="1" ht="21">
      <c r="A84" s="294"/>
      <c r="B84" s="294"/>
      <c r="C84" s="294"/>
      <c r="D84" s="295"/>
      <c r="E84" s="299"/>
      <c r="F84" s="294"/>
      <c r="G84" s="299"/>
      <c r="H84" s="299"/>
      <c r="I84" s="299"/>
      <c r="J84" s="299"/>
    </row>
    <row r="85" spans="1:10" s="277" customFormat="1" ht="21">
      <c r="A85" s="294"/>
      <c r="B85" s="294"/>
      <c r="C85" s="294"/>
      <c r="D85" s="295"/>
      <c r="E85" s="299"/>
      <c r="F85" s="294"/>
      <c r="G85" s="299"/>
      <c r="H85" s="299"/>
      <c r="I85" s="299"/>
      <c r="J85" s="299"/>
    </row>
    <row r="86" spans="1:10" s="277" customFormat="1" ht="21">
      <c r="A86" s="294"/>
      <c r="B86" s="294"/>
      <c r="C86" s="294"/>
      <c r="D86" s="295"/>
      <c r="E86" s="299"/>
      <c r="F86" s="294"/>
      <c r="G86" s="299"/>
      <c r="H86" s="299"/>
      <c r="I86" s="299"/>
      <c r="J86" s="299"/>
    </row>
    <row r="87" spans="1:10" s="277" customFormat="1" ht="21">
      <c r="A87" s="294"/>
      <c r="B87" s="294"/>
      <c r="C87" s="294"/>
      <c r="D87" s="295"/>
      <c r="E87" s="299"/>
      <c r="F87" s="294"/>
      <c r="G87" s="299"/>
      <c r="H87" s="299"/>
      <c r="I87" s="299"/>
      <c r="J87" s="299"/>
    </row>
    <row r="88" spans="1:10" s="277" customFormat="1" ht="21">
      <c r="A88" s="294"/>
      <c r="B88" s="294"/>
      <c r="C88" s="294"/>
      <c r="D88" s="295"/>
      <c r="E88" s="299"/>
      <c r="F88" s="294"/>
      <c r="G88" s="299"/>
      <c r="H88" s="299"/>
      <c r="I88" s="299"/>
      <c r="J88" s="299"/>
    </row>
    <row r="89" spans="1:10" s="277" customFormat="1" ht="21">
      <c r="A89" s="294"/>
      <c r="B89" s="294"/>
      <c r="C89" s="294"/>
      <c r="D89" s="295"/>
      <c r="E89" s="299"/>
      <c r="F89" s="294"/>
      <c r="G89" s="299"/>
      <c r="H89" s="299"/>
      <c r="I89" s="299"/>
      <c r="J89" s="299"/>
    </row>
    <row r="90" spans="1:10" s="277" customFormat="1" ht="21">
      <c r="A90" s="294"/>
      <c r="B90" s="294"/>
      <c r="C90" s="294"/>
      <c r="D90" s="295"/>
      <c r="E90" s="299"/>
      <c r="F90" s="294"/>
      <c r="G90" s="299"/>
      <c r="H90" s="299"/>
      <c r="I90" s="299"/>
      <c r="J90" s="299"/>
    </row>
    <row r="91" spans="1:10" s="277" customFormat="1" ht="21">
      <c r="A91" s="294"/>
      <c r="B91" s="294"/>
      <c r="C91" s="294"/>
      <c r="D91" s="295"/>
      <c r="E91" s="299"/>
      <c r="F91" s="294"/>
      <c r="G91" s="299"/>
      <c r="H91" s="299"/>
      <c r="I91" s="299"/>
      <c r="J91" s="299"/>
    </row>
    <row r="92" spans="1:10" s="277" customFormat="1" ht="21">
      <c r="A92" s="294"/>
      <c r="B92" s="294"/>
      <c r="C92" s="294"/>
      <c r="D92" s="295"/>
      <c r="E92" s="299"/>
      <c r="F92" s="294"/>
      <c r="G92" s="299"/>
      <c r="H92" s="299"/>
      <c r="I92" s="299"/>
      <c r="J92" s="299"/>
    </row>
    <row r="93" spans="1:10" s="277" customFormat="1" ht="21">
      <c r="A93" s="294"/>
      <c r="B93" s="294"/>
      <c r="C93" s="294"/>
      <c r="D93" s="295"/>
      <c r="E93" s="299"/>
      <c r="F93" s="294"/>
      <c r="G93" s="299"/>
      <c r="H93" s="299"/>
      <c r="I93" s="299"/>
      <c r="J93" s="299"/>
    </row>
    <row r="94" spans="1:10" s="277" customFormat="1" ht="21">
      <c r="A94" s="294"/>
      <c r="B94" s="294"/>
      <c r="C94" s="294"/>
      <c r="D94" s="295"/>
      <c r="E94" s="299"/>
      <c r="F94" s="294"/>
      <c r="G94" s="299"/>
      <c r="H94" s="299"/>
      <c r="I94" s="299"/>
      <c r="J94" s="299"/>
    </row>
    <row r="95" spans="1:10" s="277" customFormat="1" ht="21">
      <c r="A95" s="294"/>
      <c r="B95" s="294"/>
      <c r="C95" s="294"/>
      <c r="D95" s="295"/>
      <c r="E95" s="299"/>
      <c r="F95" s="294"/>
      <c r="G95" s="299"/>
      <c r="H95" s="299"/>
      <c r="I95" s="299"/>
      <c r="J95" s="299"/>
    </row>
    <row r="96" spans="1:10" s="277" customFormat="1" ht="21">
      <c r="A96" s="294"/>
      <c r="B96" s="294"/>
      <c r="C96" s="294"/>
      <c r="D96" s="295"/>
      <c r="E96" s="299"/>
      <c r="F96" s="294"/>
      <c r="G96" s="299"/>
      <c r="H96" s="299"/>
      <c r="I96" s="299"/>
      <c r="J96" s="299"/>
    </row>
    <row r="97" spans="1:10" s="277" customFormat="1" ht="21">
      <c r="A97" s="294"/>
      <c r="B97" s="294"/>
      <c r="C97" s="294"/>
      <c r="D97" s="295"/>
      <c r="E97" s="299"/>
      <c r="F97" s="294"/>
      <c r="G97" s="299"/>
      <c r="H97" s="299"/>
      <c r="I97" s="299"/>
      <c r="J97" s="299"/>
    </row>
    <row r="98" spans="1:10" s="277" customFormat="1" ht="21">
      <c r="A98" s="294"/>
      <c r="B98" s="294"/>
      <c r="C98" s="294"/>
      <c r="D98" s="295"/>
      <c r="E98" s="299"/>
      <c r="F98" s="294"/>
      <c r="G98" s="299"/>
      <c r="H98" s="299"/>
      <c r="I98" s="299"/>
      <c r="J98" s="299"/>
    </row>
    <row r="99" spans="1:10" s="277" customFormat="1" ht="21">
      <c r="A99" s="294"/>
      <c r="B99" s="294"/>
      <c r="C99" s="294"/>
      <c r="D99" s="295"/>
      <c r="E99" s="299"/>
      <c r="F99" s="294"/>
      <c r="G99" s="299"/>
      <c r="H99" s="299"/>
      <c r="I99" s="299"/>
      <c r="J99" s="299"/>
    </row>
    <row r="100" spans="1:10" s="277" customFormat="1" ht="21">
      <c r="A100" s="294"/>
      <c r="B100" s="294"/>
      <c r="C100" s="294"/>
      <c r="D100" s="295"/>
      <c r="E100" s="299"/>
      <c r="F100" s="294"/>
      <c r="G100" s="299"/>
      <c r="H100" s="299"/>
      <c r="I100" s="299"/>
      <c r="J100" s="299"/>
    </row>
    <row r="101" spans="1:10" s="277" customFormat="1" ht="21">
      <c r="A101" s="294"/>
      <c r="B101" s="294"/>
      <c r="C101" s="294"/>
      <c r="D101" s="295"/>
      <c r="E101" s="299"/>
      <c r="F101" s="294"/>
      <c r="G101" s="299"/>
      <c r="H101" s="299"/>
      <c r="I101" s="299"/>
      <c r="J101" s="299"/>
    </row>
    <row r="102" spans="1:10" s="277" customFormat="1" ht="21">
      <c r="A102" s="294"/>
      <c r="B102" s="294"/>
      <c r="C102" s="294"/>
      <c r="D102" s="295"/>
      <c r="E102" s="299"/>
      <c r="F102" s="294"/>
      <c r="G102" s="299"/>
      <c r="H102" s="299"/>
      <c r="I102" s="299"/>
      <c r="J102" s="299"/>
    </row>
    <row r="103" spans="1:10" s="277" customFormat="1" ht="21">
      <c r="A103" s="294"/>
      <c r="B103" s="294"/>
      <c r="C103" s="294"/>
      <c r="D103" s="295"/>
      <c r="E103" s="299"/>
      <c r="F103" s="294"/>
      <c r="G103" s="299"/>
      <c r="H103" s="299"/>
      <c r="I103" s="299"/>
      <c r="J103" s="299"/>
    </row>
    <row r="104" spans="1:10" s="277" customFormat="1" ht="21">
      <c r="A104" s="294"/>
      <c r="B104" s="294"/>
      <c r="C104" s="294"/>
      <c r="D104" s="295"/>
      <c r="E104" s="299"/>
      <c r="F104" s="294"/>
      <c r="G104" s="299"/>
      <c r="H104" s="299"/>
      <c r="I104" s="299"/>
      <c r="J104" s="299"/>
    </row>
    <row r="105" spans="1:10" s="277" customFormat="1" ht="21">
      <c r="A105" s="294"/>
      <c r="B105" s="294"/>
      <c r="C105" s="294"/>
      <c r="D105" s="295"/>
      <c r="E105" s="299"/>
      <c r="F105" s="294"/>
      <c r="G105" s="299"/>
      <c r="H105" s="299"/>
      <c r="I105" s="299"/>
      <c r="J105" s="299"/>
    </row>
    <row r="106" spans="1:10" s="277" customFormat="1" ht="21">
      <c r="A106" s="294"/>
      <c r="B106" s="294"/>
      <c r="C106" s="294"/>
      <c r="D106" s="295"/>
      <c r="E106" s="299"/>
      <c r="F106" s="294"/>
      <c r="G106" s="299"/>
      <c r="H106" s="299"/>
      <c r="I106" s="299"/>
      <c r="J106" s="299"/>
    </row>
    <row r="107" spans="1:10" s="277" customFormat="1" ht="21">
      <c r="A107" s="294"/>
      <c r="B107" s="294"/>
      <c r="C107" s="294"/>
      <c r="D107" s="295"/>
      <c r="E107" s="299"/>
      <c r="F107" s="294"/>
      <c r="G107" s="299"/>
      <c r="H107" s="299"/>
      <c r="I107" s="299"/>
      <c r="J107" s="299"/>
    </row>
    <row r="108" spans="1:10" s="277" customFormat="1" ht="21">
      <c r="A108" s="294"/>
      <c r="B108" s="294"/>
      <c r="C108" s="294"/>
      <c r="D108" s="295"/>
      <c r="E108" s="299"/>
      <c r="F108" s="294"/>
      <c r="G108" s="299"/>
      <c r="H108" s="299"/>
      <c r="I108" s="299"/>
      <c r="J108" s="299"/>
    </row>
    <row r="109" spans="1:10" s="277" customFormat="1" ht="21">
      <c r="A109" s="294"/>
      <c r="B109" s="294"/>
      <c r="C109" s="294"/>
      <c r="D109" s="295"/>
      <c r="E109" s="299"/>
      <c r="F109" s="294"/>
      <c r="G109" s="299"/>
      <c r="H109" s="299"/>
      <c r="I109" s="299"/>
      <c r="J109" s="299"/>
    </row>
    <row r="110" spans="1:10" s="277" customFormat="1" ht="21">
      <c r="A110" s="294"/>
      <c r="B110" s="294"/>
      <c r="C110" s="294"/>
      <c r="D110" s="295"/>
      <c r="E110" s="299"/>
      <c r="F110" s="294"/>
      <c r="G110" s="299"/>
      <c r="H110" s="299"/>
      <c r="I110" s="299"/>
      <c r="J110" s="299"/>
    </row>
    <row r="111" spans="1:10" s="277" customFormat="1" ht="21">
      <c r="A111" s="294"/>
      <c r="B111" s="294"/>
      <c r="C111" s="294"/>
      <c r="D111" s="295"/>
      <c r="E111" s="299"/>
      <c r="F111" s="294"/>
      <c r="G111" s="299"/>
      <c r="H111" s="299"/>
      <c r="I111" s="299"/>
      <c r="J111" s="299"/>
    </row>
    <row r="112" spans="1:10" s="277" customFormat="1" ht="21">
      <c r="A112" s="294"/>
      <c r="B112" s="294"/>
      <c r="C112" s="294"/>
      <c r="D112" s="295"/>
      <c r="E112" s="299"/>
      <c r="F112" s="294"/>
      <c r="G112" s="299"/>
      <c r="H112" s="299"/>
      <c r="I112" s="299"/>
      <c r="J112" s="299"/>
    </row>
  </sheetData>
  <sheetProtection/>
  <mergeCells count="16">
    <mergeCell ref="Q9:Q10"/>
    <mergeCell ref="R9:R10"/>
    <mergeCell ref="M9:M10"/>
    <mergeCell ref="A7:B7"/>
    <mergeCell ref="A8:B8"/>
    <mergeCell ref="K9:K10"/>
    <mergeCell ref="N9:N10"/>
    <mergeCell ref="O9:O10"/>
    <mergeCell ref="P9:P10"/>
    <mergeCell ref="A80:J80"/>
    <mergeCell ref="F1:J1"/>
    <mergeCell ref="F2:J2"/>
    <mergeCell ref="F3:J3"/>
    <mergeCell ref="F4:J4"/>
    <mergeCell ref="F5:J5"/>
    <mergeCell ref="C6:H6"/>
  </mergeCells>
  <printOptions/>
  <pageMargins left="0.4724409448818898" right="0.2362204724409449" top="0.48" bottom="0.23" header="0.11811023622047245" footer="0"/>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00"/>
  <sheetViews>
    <sheetView showZeros="0" zoomScale="65" zoomScaleNormal="65" zoomScalePageLayoutView="0" workbookViewId="0" topLeftCell="A4">
      <pane xSplit="1" ySplit="10" topLeftCell="E80" activePane="bottomRight" state="frozen"/>
      <selection pane="topLeft" activeCell="A4" sqref="A4"/>
      <selection pane="topRight" activeCell="B4" sqref="B4"/>
      <selection pane="bottomLeft" activeCell="A14" sqref="A14"/>
      <selection pane="bottomRight" activeCell="E10" sqref="E10"/>
    </sheetView>
  </sheetViews>
  <sheetFormatPr defaultColWidth="8.875" defaultRowHeight="12.75"/>
  <cols>
    <col min="1" max="1" width="14.375" style="204" customWidth="1"/>
    <col min="2" max="2" width="13.375" style="205" customWidth="1"/>
    <col min="3" max="3" width="12.75390625" style="205" customWidth="1"/>
    <col min="4" max="4" width="53.25390625" style="206" customWidth="1"/>
    <col min="5" max="5" width="71.125" style="207" customWidth="1"/>
    <col min="6" max="6" width="30.25390625" style="167" customWidth="1"/>
    <col min="7" max="7" width="18.625" style="207" customWidth="1"/>
    <col min="8" max="8" width="18.625" style="284" customWidth="1"/>
    <col min="9" max="10" width="18.625" style="207" customWidth="1"/>
    <col min="11" max="16384" width="8.875" style="207" customWidth="1"/>
  </cols>
  <sheetData>
    <row r="1" spans="6:10" ht="18">
      <c r="F1" s="208"/>
      <c r="G1" s="476" t="s">
        <v>218</v>
      </c>
      <c r="H1" s="477"/>
      <c r="I1" s="477"/>
      <c r="J1" s="477"/>
    </row>
    <row r="2" spans="1:10" ht="18">
      <c r="A2" s="121"/>
      <c r="G2" s="474" t="str">
        <f>додаток1!D2</f>
        <v>до рішення сімнадцятої сесії Тетіївської міської ради</v>
      </c>
      <c r="H2" s="477"/>
      <c r="I2" s="477"/>
      <c r="J2" s="477"/>
    </row>
    <row r="3" spans="6:10" ht="36" customHeight="1">
      <c r="F3" s="209"/>
      <c r="G3" s="478" t="str">
        <f>додаток1!D3</f>
        <v>"Про бюджет Тетіївської міської територіальної громади на 2023 рік" від 20.12.2022 № 772-17-VIII</v>
      </c>
      <c r="H3" s="479"/>
      <c r="I3" s="479"/>
      <c r="J3" s="479"/>
    </row>
    <row r="4" spans="6:10" ht="42.75" customHeight="1">
      <c r="F4" s="209"/>
      <c r="G4" s="480" t="str">
        <f>додаток1!D4</f>
        <v>(в редакції рішення двадцять другої сесії Тетіївської міської ради від 01.08.2023 № 978-22-VIII)</v>
      </c>
      <c r="H4" s="481"/>
      <c r="I4" s="481"/>
      <c r="J4" s="481"/>
    </row>
    <row r="5" spans="6:10" ht="17.25" customHeight="1">
      <c r="F5" s="474">
        <f>додаток1!C5</f>
        <v>0</v>
      </c>
      <c r="G5" s="474"/>
      <c r="H5" s="474"/>
      <c r="I5" s="474"/>
      <c r="J5" s="474"/>
    </row>
    <row r="6" spans="1:10" s="219" customFormat="1" ht="18">
      <c r="A6" s="214"/>
      <c r="B6" s="215"/>
      <c r="C6" s="215"/>
      <c r="D6" s="216"/>
      <c r="E6" s="217"/>
      <c r="F6" s="218"/>
      <c r="G6" s="217"/>
      <c r="H6" s="474"/>
      <c r="I6" s="474"/>
      <c r="J6" s="474"/>
    </row>
    <row r="7" spans="1:10" s="219" customFormat="1" ht="21" customHeight="1">
      <c r="A7" s="214"/>
      <c r="B7" s="475" t="s">
        <v>412</v>
      </c>
      <c r="C7" s="475"/>
      <c r="D7" s="475"/>
      <c r="E7" s="475"/>
      <c r="F7" s="475"/>
      <c r="G7" s="475"/>
      <c r="H7" s="475"/>
      <c r="I7" s="475"/>
      <c r="J7" s="475"/>
    </row>
    <row r="8" spans="1:10" s="219" customFormat="1" ht="21" customHeight="1">
      <c r="A8" s="158">
        <f>додаток1!A8</f>
        <v>1050800000</v>
      </c>
      <c r="B8" s="158"/>
      <c r="C8" s="221"/>
      <c r="D8" s="221"/>
      <c r="E8" s="221"/>
      <c r="F8" s="221"/>
      <c r="G8" s="221"/>
      <c r="H8" s="221"/>
      <c r="I8" s="221"/>
      <c r="J8" s="221"/>
    </row>
    <row r="9" spans="1:10" s="219" customFormat="1" ht="18" customHeight="1">
      <c r="A9" s="474" t="s">
        <v>455</v>
      </c>
      <c r="B9" s="474"/>
      <c r="C9" s="222"/>
      <c r="D9" s="222"/>
      <c r="E9" s="222"/>
      <c r="F9" s="222"/>
      <c r="G9" s="222"/>
      <c r="H9" s="222"/>
      <c r="I9" s="222"/>
      <c r="J9" s="222"/>
    </row>
    <row r="10" spans="1:10" s="219" customFormat="1" ht="18" customHeight="1">
      <c r="A10" s="214"/>
      <c r="B10" s="223"/>
      <c r="C10" s="223"/>
      <c r="D10" s="224"/>
      <c r="E10" s="225"/>
      <c r="F10" s="218"/>
      <c r="G10" s="225"/>
      <c r="H10" s="226"/>
      <c r="J10" s="227" t="s">
        <v>456</v>
      </c>
    </row>
    <row r="11" spans="1:10" s="128" customFormat="1" ht="32.25" customHeight="1">
      <c r="A11" s="485" t="s">
        <v>27</v>
      </c>
      <c r="B11" s="398" t="s">
        <v>28</v>
      </c>
      <c r="C11" s="398" t="s">
        <v>29</v>
      </c>
      <c r="D11" s="487" t="s">
        <v>30</v>
      </c>
      <c r="E11" s="489" t="s">
        <v>219</v>
      </c>
      <c r="F11" s="487" t="s">
        <v>220</v>
      </c>
      <c r="G11" s="487" t="s">
        <v>459</v>
      </c>
      <c r="H11" s="487" t="s">
        <v>460</v>
      </c>
      <c r="I11" s="482" t="s">
        <v>461</v>
      </c>
      <c r="J11" s="483"/>
    </row>
    <row r="12" spans="1:10" s="128" customFormat="1" ht="86.25" customHeight="1">
      <c r="A12" s="486"/>
      <c r="B12" s="400"/>
      <c r="C12" s="400"/>
      <c r="D12" s="488"/>
      <c r="E12" s="490"/>
      <c r="F12" s="488"/>
      <c r="G12" s="488"/>
      <c r="H12" s="488"/>
      <c r="I12" s="228" t="s">
        <v>221</v>
      </c>
      <c r="J12" s="228" t="s">
        <v>189</v>
      </c>
    </row>
    <row r="13" spans="1:10" ht="24" customHeight="1">
      <c r="A13" s="228">
        <v>1</v>
      </c>
      <c r="B13" s="230" t="s">
        <v>217</v>
      </c>
      <c r="C13" s="230" t="s">
        <v>39</v>
      </c>
      <c r="D13" s="231">
        <v>4</v>
      </c>
      <c r="E13" s="229">
        <v>5</v>
      </c>
      <c r="F13" s="228">
        <v>6</v>
      </c>
      <c r="G13" s="228">
        <v>7</v>
      </c>
      <c r="H13" s="228">
        <v>8</v>
      </c>
      <c r="I13" s="228">
        <v>9</v>
      </c>
      <c r="J13" s="228">
        <v>10</v>
      </c>
    </row>
    <row r="14" spans="1:10" s="239" customFormat="1" ht="41.25" customHeight="1">
      <c r="A14" s="199" t="s">
        <v>40</v>
      </c>
      <c r="B14" s="232"/>
      <c r="C14" s="232"/>
      <c r="D14" s="233" t="s">
        <v>41</v>
      </c>
      <c r="E14" s="234"/>
      <c r="F14" s="235"/>
      <c r="G14" s="238">
        <f>H14+I14</f>
        <v>42569241</v>
      </c>
      <c r="H14" s="238">
        <f>H15</f>
        <v>35518156</v>
      </c>
      <c r="I14" s="238">
        <f>I15</f>
        <v>7051085</v>
      </c>
      <c r="J14" s="238">
        <f>J15</f>
        <v>6896085</v>
      </c>
    </row>
    <row r="15" spans="1:10" s="239" customFormat="1" ht="41.25" customHeight="1">
      <c r="A15" s="199" t="s">
        <v>42</v>
      </c>
      <c r="B15" s="232"/>
      <c r="C15" s="232"/>
      <c r="D15" s="233" t="s">
        <v>41</v>
      </c>
      <c r="E15" s="234"/>
      <c r="F15" s="235"/>
      <c r="G15" s="238">
        <f aca="true" t="shared" si="0" ref="G15:G70">H15+I15</f>
        <v>42569241</v>
      </c>
      <c r="H15" s="238">
        <f>H16+H23+H29+H34+H42+H53+H62</f>
        <v>35518156</v>
      </c>
      <c r="I15" s="238">
        <f>I16+I23+I29+I34+I42+I53+I62</f>
        <v>7051085</v>
      </c>
      <c r="J15" s="238">
        <f>J16+J23+J29+J34+J42+J53+J62</f>
        <v>6896085</v>
      </c>
    </row>
    <row r="16" spans="1:10" s="239" customFormat="1" ht="31.5" customHeight="1">
      <c r="A16" s="199"/>
      <c r="B16" s="199" t="s">
        <v>240</v>
      </c>
      <c r="C16" s="199"/>
      <c r="D16" s="200" t="s">
        <v>241</v>
      </c>
      <c r="E16" s="234"/>
      <c r="F16" s="235"/>
      <c r="G16" s="238">
        <f t="shared" si="0"/>
        <v>341669</v>
      </c>
      <c r="H16" s="238">
        <f>H17</f>
        <v>341669</v>
      </c>
      <c r="I16" s="238">
        <f>I17</f>
        <v>0</v>
      </c>
      <c r="J16" s="238">
        <f>J17</f>
        <v>0</v>
      </c>
    </row>
    <row r="17" spans="1:10" s="244" customFormat="1" ht="48.75" customHeight="1">
      <c r="A17" s="201" t="s">
        <v>48</v>
      </c>
      <c r="B17" s="240" t="s">
        <v>49</v>
      </c>
      <c r="C17" s="240" t="s">
        <v>50</v>
      </c>
      <c r="D17" s="241" t="s">
        <v>51</v>
      </c>
      <c r="E17" s="242"/>
      <c r="F17" s="243"/>
      <c r="G17" s="238">
        <f t="shared" si="0"/>
        <v>341669</v>
      </c>
      <c r="H17" s="238">
        <f>SUM(H18:H22)</f>
        <v>341669</v>
      </c>
      <c r="I17" s="238">
        <f>SUM(I18:I21)</f>
        <v>0</v>
      </c>
      <c r="J17" s="238">
        <f>SUM(J18:J21)</f>
        <v>0</v>
      </c>
    </row>
    <row r="18" spans="1:10" s="185" customFormat="1" ht="53.25" customHeight="1">
      <c r="A18" s="5"/>
      <c r="B18" s="245"/>
      <c r="C18" s="245"/>
      <c r="D18" s="246"/>
      <c r="E18" s="119" t="s">
        <v>222</v>
      </c>
      <c r="F18" s="114" t="s">
        <v>227</v>
      </c>
      <c r="G18" s="247">
        <f t="shared" si="0"/>
        <v>50000</v>
      </c>
      <c r="H18" s="247">
        <v>50000</v>
      </c>
      <c r="I18" s="248"/>
      <c r="J18" s="248"/>
    </row>
    <row r="19" spans="1:10" s="185" customFormat="1" ht="76.5" customHeight="1">
      <c r="A19" s="5"/>
      <c r="B19" s="245"/>
      <c r="C19" s="245"/>
      <c r="D19" s="246"/>
      <c r="E19" s="119" t="s">
        <v>223</v>
      </c>
      <c r="F19" s="114" t="s">
        <v>227</v>
      </c>
      <c r="G19" s="247">
        <f t="shared" si="0"/>
        <v>55665</v>
      </c>
      <c r="H19" s="247">
        <f>50000+5665</f>
        <v>55665</v>
      </c>
      <c r="I19" s="248"/>
      <c r="J19" s="248"/>
    </row>
    <row r="20" spans="1:10" s="185" customFormat="1" ht="56.25" customHeight="1">
      <c r="A20" s="5"/>
      <c r="B20" s="245"/>
      <c r="C20" s="245"/>
      <c r="D20" s="246"/>
      <c r="E20" s="130" t="s">
        <v>307</v>
      </c>
      <c r="F20" s="114" t="s">
        <v>227</v>
      </c>
      <c r="G20" s="247">
        <f t="shared" si="0"/>
        <v>50000</v>
      </c>
      <c r="H20" s="247">
        <v>50000</v>
      </c>
      <c r="I20" s="248"/>
      <c r="J20" s="248"/>
    </row>
    <row r="21" spans="1:10" s="185" customFormat="1" ht="57.75" customHeight="1">
      <c r="A21" s="5"/>
      <c r="B21" s="245"/>
      <c r="C21" s="245"/>
      <c r="D21" s="246"/>
      <c r="E21" s="119" t="s">
        <v>228</v>
      </c>
      <c r="F21" s="114" t="s">
        <v>227</v>
      </c>
      <c r="G21" s="247">
        <f t="shared" si="0"/>
        <v>186004</v>
      </c>
      <c r="H21" s="247">
        <f>171700+14304</f>
        <v>186004</v>
      </c>
      <c r="I21" s="248"/>
      <c r="J21" s="248"/>
    </row>
    <row r="22" spans="1:10" s="185" customFormat="1" ht="65.25" customHeight="1" hidden="1">
      <c r="A22" s="5"/>
      <c r="B22" s="245"/>
      <c r="C22" s="245"/>
      <c r="D22" s="246"/>
      <c r="E22" s="130" t="s">
        <v>306</v>
      </c>
      <c r="F22" s="114" t="s">
        <v>308</v>
      </c>
      <c r="G22" s="247">
        <f t="shared" si="0"/>
        <v>0</v>
      </c>
      <c r="H22" s="247"/>
      <c r="I22" s="247"/>
      <c r="J22" s="248"/>
    </row>
    <row r="23" spans="1:10" s="244" customFormat="1" ht="30" customHeight="1">
      <c r="A23" s="201"/>
      <c r="B23" s="201" t="s">
        <v>242</v>
      </c>
      <c r="C23" s="201"/>
      <c r="D23" s="117" t="s">
        <v>244</v>
      </c>
      <c r="E23" s="249"/>
      <c r="F23" s="243"/>
      <c r="G23" s="238">
        <f t="shared" si="0"/>
        <v>4028207</v>
      </c>
      <c r="H23" s="238">
        <f>H24+H27</f>
        <v>4028207</v>
      </c>
      <c r="I23" s="238">
        <f>I24+I27</f>
        <v>0</v>
      </c>
      <c r="J23" s="238">
        <f>J24+J27</f>
        <v>0</v>
      </c>
    </row>
    <row r="24" spans="1:10" s="244" customFormat="1" ht="44.25" customHeight="1">
      <c r="A24" s="201" t="s">
        <v>245</v>
      </c>
      <c r="B24" s="201" t="s">
        <v>247</v>
      </c>
      <c r="C24" s="201" t="s">
        <v>60</v>
      </c>
      <c r="D24" s="117" t="s">
        <v>246</v>
      </c>
      <c r="E24" s="249"/>
      <c r="F24" s="243"/>
      <c r="G24" s="238">
        <f>H24+I24</f>
        <v>4028207</v>
      </c>
      <c r="H24" s="238">
        <f>SUM(H25:H26)</f>
        <v>4028207</v>
      </c>
      <c r="I24" s="238">
        <f>SUM(I25:I26)</f>
        <v>0</v>
      </c>
      <c r="J24" s="238">
        <f>SUM(J25:J26)</f>
        <v>0</v>
      </c>
    </row>
    <row r="25" spans="1:10" s="185" customFormat="1" ht="66.75" customHeight="1">
      <c r="A25" s="5"/>
      <c r="B25" s="245"/>
      <c r="C25" s="245"/>
      <c r="D25" s="250"/>
      <c r="E25" s="130" t="s">
        <v>349</v>
      </c>
      <c r="F25" s="114" t="s">
        <v>358</v>
      </c>
      <c r="G25" s="247">
        <f>H25+I25</f>
        <v>1829438</v>
      </c>
      <c r="H25" s="247">
        <f>246000+25438+132000+1295000+131000</f>
        <v>1829438</v>
      </c>
      <c r="I25" s="247"/>
      <c r="J25" s="248"/>
    </row>
    <row r="26" spans="1:10" s="251" customFormat="1" ht="78" customHeight="1">
      <c r="A26" s="5"/>
      <c r="B26" s="245"/>
      <c r="C26" s="245"/>
      <c r="D26" s="250"/>
      <c r="E26" s="119" t="s">
        <v>347</v>
      </c>
      <c r="F26" s="114" t="s">
        <v>348</v>
      </c>
      <c r="G26" s="247">
        <f t="shared" si="0"/>
        <v>2198769</v>
      </c>
      <c r="H26" s="247">
        <f>1182100+344500+50000+115078+320000+187091</f>
        <v>2198769</v>
      </c>
      <c r="I26" s="247"/>
      <c r="J26" s="248"/>
    </row>
    <row r="27" spans="1:10" s="244" customFormat="1" ht="47.25" customHeight="1" hidden="1">
      <c r="A27" s="201" t="s">
        <v>245</v>
      </c>
      <c r="B27" s="201" t="s">
        <v>247</v>
      </c>
      <c r="C27" s="201" t="s">
        <v>60</v>
      </c>
      <c r="D27" s="117" t="s">
        <v>246</v>
      </c>
      <c r="E27" s="249"/>
      <c r="F27" s="243"/>
      <c r="G27" s="238">
        <f t="shared" si="0"/>
        <v>0</v>
      </c>
      <c r="H27" s="238">
        <f>H28</f>
        <v>0</v>
      </c>
      <c r="I27" s="238">
        <f>I28</f>
        <v>0</v>
      </c>
      <c r="J27" s="238">
        <f>J28</f>
        <v>0</v>
      </c>
    </row>
    <row r="28" spans="1:10" s="251" customFormat="1" ht="76.5" customHeight="1" hidden="1">
      <c r="A28" s="5"/>
      <c r="B28" s="245"/>
      <c r="C28" s="245"/>
      <c r="D28" s="250"/>
      <c r="E28" s="130"/>
      <c r="F28" s="114"/>
      <c r="G28" s="247">
        <f t="shared" si="0"/>
        <v>0</v>
      </c>
      <c r="H28" s="247"/>
      <c r="I28" s="247"/>
      <c r="J28" s="248"/>
    </row>
    <row r="29" spans="1:10" s="244" customFormat="1" ht="54.75" customHeight="1">
      <c r="A29" s="201"/>
      <c r="B29" s="201" t="s">
        <v>248</v>
      </c>
      <c r="C29" s="201"/>
      <c r="D29" s="117" t="s">
        <v>249</v>
      </c>
      <c r="E29" s="249"/>
      <c r="F29" s="243"/>
      <c r="G29" s="238">
        <f t="shared" si="0"/>
        <v>298075</v>
      </c>
      <c r="H29" s="238">
        <f>H30+H32</f>
        <v>298075</v>
      </c>
      <c r="I29" s="238">
        <f>I30+I32</f>
        <v>0</v>
      </c>
      <c r="J29" s="238">
        <f>J30+J32</f>
        <v>0</v>
      </c>
    </row>
    <row r="30" spans="1:10" s="244" customFormat="1" ht="55.5" customHeight="1">
      <c r="A30" s="201" t="s">
        <v>373</v>
      </c>
      <c r="B30" s="201" t="s">
        <v>374</v>
      </c>
      <c r="C30" s="201" t="s">
        <v>63</v>
      </c>
      <c r="D30" s="117" t="s">
        <v>376</v>
      </c>
      <c r="E30" s="249"/>
      <c r="F30" s="243"/>
      <c r="G30" s="238">
        <f t="shared" si="0"/>
        <v>98075</v>
      </c>
      <c r="H30" s="238">
        <f>SUM(H31)</f>
        <v>98075</v>
      </c>
      <c r="I30" s="238">
        <f>SUM(I31)</f>
        <v>0</v>
      </c>
      <c r="J30" s="238">
        <f>SUM(J31)</f>
        <v>0</v>
      </c>
    </row>
    <row r="31" spans="1:10" s="251" customFormat="1" ht="61.5" customHeight="1">
      <c r="A31" s="201"/>
      <c r="B31" s="201"/>
      <c r="C31" s="201"/>
      <c r="D31" s="252"/>
      <c r="E31" s="130" t="s">
        <v>427</v>
      </c>
      <c r="F31" s="114" t="s">
        <v>431</v>
      </c>
      <c r="G31" s="247">
        <f t="shared" si="0"/>
        <v>98075</v>
      </c>
      <c r="H31" s="247">
        <f>50000+48075</f>
        <v>98075</v>
      </c>
      <c r="I31" s="247"/>
      <c r="J31" s="247"/>
    </row>
    <row r="32" spans="1:10" s="244" customFormat="1" ht="85.5" customHeight="1">
      <c r="A32" s="201" t="s">
        <v>252</v>
      </c>
      <c r="B32" s="240" t="s">
        <v>253</v>
      </c>
      <c r="C32" s="240" t="s">
        <v>63</v>
      </c>
      <c r="D32" s="252" t="s">
        <v>254</v>
      </c>
      <c r="E32" s="249"/>
      <c r="F32" s="243"/>
      <c r="G32" s="238">
        <f t="shared" si="0"/>
        <v>200000</v>
      </c>
      <c r="H32" s="238">
        <f>H33</f>
        <v>200000</v>
      </c>
      <c r="I32" s="238">
        <f>I33</f>
        <v>0</v>
      </c>
      <c r="J32" s="238">
        <f>J33</f>
        <v>0</v>
      </c>
    </row>
    <row r="33" spans="1:10" s="251" customFormat="1" ht="52.5" customHeight="1">
      <c r="A33" s="5"/>
      <c r="B33" s="245"/>
      <c r="C33" s="245"/>
      <c r="D33" s="250"/>
      <c r="E33" s="130" t="s">
        <v>427</v>
      </c>
      <c r="F33" s="114" t="s">
        <v>431</v>
      </c>
      <c r="G33" s="247">
        <f t="shared" si="0"/>
        <v>200000</v>
      </c>
      <c r="H33" s="247">
        <f>200000</f>
        <v>200000</v>
      </c>
      <c r="I33" s="247"/>
      <c r="J33" s="248"/>
    </row>
    <row r="34" spans="1:10" s="244" customFormat="1" ht="35.25" customHeight="1">
      <c r="A34" s="201"/>
      <c r="B34" s="201" t="s">
        <v>257</v>
      </c>
      <c r="C34" s="201"/>
      <c r="D34" s="117" t="s">
        <v>258</v>
      </c>
      <c r="E34" s="242"/>
      <c r="F34" s="243"/>
      <c r="G34" s="238">
        <f t="shared" si="0"/>
        <v>27308740</v>
      </c>
      <c r="H34" s="238">
        <f>H35+H37+H40</f>
        <v>22511655</v>
      </c>
      <c r="I34" s="238">
        <f>I35+I37+I40</f>
        <v>4797085</v>
      </c>
      <c r="J34" s="238">
        <f>J35+J37+J40</f>
        <v>4797085</v>
      </c>
    </row>
    <row r="35" spans="1:10" s="244" customFormat="1" ht="50.25" customHeight="1">
      <c r="A35" s="201" t="s">
        <v>69</v>
      </c>
      <c r="B35" s="240" t="s">
        <v>70</v>
      </c>
      <c r="C35" s="240" t="s">
        <v>71</v>
      </c>
      <c r="D35" s="241" t="s">
        <v>72</v>
      </c>
      <c r="E35" s="117"/>
      <c r="F35" s="134"/>
      <c r="G35" s="238">
        <f t="shared" si="0"/>
        <v>3908740</v>
      </c>
      <c r="H35" s="238">
        <f>H36</f>
        <v>3538865</v>
      </c>
      <c r="I35" s="238">
        <f>I36</f>
        <v>369875</v>
      </c>
      <c r="J35" s="238">
        <f>J36</f>
        <v>369875</v>
      </c>
    </row>
    <row r="36" spans="1:10" s="185" customFormat="1" ht="59.25" customHeight="1">
      <c r="A36" s="5"/>
      <c r="B36" s="245"/>
      <c r="C36" s="245"/>
      <c r="D36" s="246"/>
      <c r="E36" s="119" t="s">
        <v>424</v>
      </c>
      <c r="F36" s="114" t="s">
        <v>432</v>
      </c>
      <c r="G36" s="247">
        <f t="shared" si="0"/>
        <v>3908740</v>
      </c>
      <c r="H36" s="247">
        <f>3000000+267300+32140+35000+96000+108425</f>
        <v>3538865</v>
      </c>
      <c r="I36" s="248">
        <f>48800+207300+113775</f>
        <v>369875</v>
      </c>
      <c r="J36" s="248">
        <f>48800+207300+113775</f>
        <v>369875</v>
      </c>
    </row>
    <row r="37" spans="1:10" s="244" customFormat="1" ht="50.25" customHeight="1">
      <c r="A37" s="201" t="s">
        <v>73</v>
      </c>
      <c r="B37" s="240" t="s">
        <v>74</v>
      </c>
      <c r="C37" s="240" t="s">
        <v>71</v>
      </c>
      <c r="D37" s="241" t="s">
        <v>75</v>
      </c>
      <c r="E37" s="117"/>
      <c r="F37" s="134"/>
      <c r="G37" s="238">
        <f>SUM(G38:G39)</f>
        <v>23000000</v>
      </c>
      <c r="H37" s="238">
        <f>SUM(H38:H39)</f>
        <v>18972790</v>
      </c>
      <c r="I37" s="238">
        <f>SUM(I38:I39)</f>
        <v>4027210</v>
      </c>
      <c r="J37" s="238">
        <f>SUM(J38:J39)</f>
        <v>4027210</v>
      </c>
    </row>
    <row r="38" spans="1:10" s="244" customFormat="1" ht="50.25" customHeight="1">
      <c r="A38" s="201"/>
      <c r="B38" s="240"/>
      <c r="C38" s="240"/>
      <c r="D38" s="241"/>
      <c r="E38" s="119" t="s">
        <v>424</v>
      </c>
      <c r="F38" s="114" t="s">
        <v>432</v>
      </c>
      <c r="G38" s="247">
        <f>H38+I38</f>
        <v>22940000</v>
      </c>
      <c r="H38" s="247">
        <f>10070000+6200000+200000+636730+75000+680700+525000+517360+8000</f>
        <v>18912790</v>
      </c>
      <c r="I38" s="248">
        <f>675464+45210+274536+3032000</f>
        <v>4027210</v>
      </c>
      <c r="J38" s="248">
        <f>720674+274536+3032000</f>
        <v>4027210</v>
      </c>
    </row>
    <row r="39" spans="1:10" s="185" customFormat="1" ht="57" customHeight="1">
      <c r="A39" s="5"/>
      <c r="B39" s="245"/>
      <c r="C39" s="245"/>
      <c r="D39" s="246"/>
      <c r="E39" s="135" t="s">
        <v>449</v>
      </c>
      <c r="F39" s="114" t="s">
        <v>451</v>
      </c>
      <c r="G39" s="247">
        <f t="shared" si="0"/>
        <v>60000</v>
      </c>
      <c r="H39" s="247">
        <f>30000+30000</f>
        <v>60000</v>
      </c>
      <c r="I39" s="248"/>
      <c r="J39" s="248"/>
    </row>
    <row r="40" spans="1:10" s="244" customFormat="1" ht="50.25" customHeight="1">
      <c r="A40" s="201" t="s">
        <v>76</v>
      </c>
      <c r="B40" s="240" t="s">
        <v>77</v>
      </c>
      <c r="C40" s="240" t="s">
        <v>78</v>
      </c>
      <c r="D40" s="241" t="s">
        <v>79</v>
      </c>
      <c r="E40" s="117"/>
      <c r="F40" s="134"/>
      <c r="G40" s="238">
        <f t="shared" si="0"/>
        <v>400000</v>
      </c>
      <c r="H40" s="238">
        <f>H41</f>
        <v>0</v>
      </c>
      <c r="I40" s="238">
        <f>I41</f>
        <v>400000</v>
      </c>
      <c r="J40" s="238">
        <f>J41</f>
        <v>400000</v>
      </c>
    </row>
    <row r="41" spans="1:10" s="185" customFormat="1" ht="60.75" customHeight="1">
      <c r="A41" s="5"/>
      <c r="B41" s="245"/>
      <c r="C41" s="245"/>
      <c r="D41" s="246"/>
      <c r="E41" s="119" t="s">
        <v>349</v>
      </c>
      <c r="F41" s="114" t="s">
        <v>358</v>
      </c>
      <c r="G41" s="247">
        <f t="shared" si="0"/>
        <v>400000</v>
      </c>
      <c r="H41" s="247"/>
      <c r="I41" s="248">
        <f>400000</f>
        <v>400000</v>
      </c>
      <c r="J41" s="248">
        <f>400000</f>
        <v>400000</v>
      </c>
    </row>
    <row r="42" spans="1:10" s="244" customFormat="1" ht="32.25" customHeight="1">
      <c r="A42" s="201"/>
      <c r="B42" s="201" t="s">
        <v>259</v>
      </c>
      <c r="C42" s="201"/>
      <c r="D42" s="203" t="s">
        <v>260</v>
      </c>
      <c r="E42" s="117"/>
      <c r="F42" s="134"/>
      <c r="G42" s="238">
        <f t="shared" si="0"/>
        <v>9163550</v>
      </c>
      <c r="H42" s="238">
        <f>H43+H45+H47+H49+H51</f>
        <v>7363550</v>
      </c>
      <c r="I42" s="238">
        <f>I43+I45+I47+I49+I51</f>
        <v>1800000</v>
      </c>
      <c r="J42" s="238">
        <f>J43+J45+J47+J49+J51</f>
        <v>1800000</v>
      </c>
    </row>
    <row r="43" spans="1:10" s="244" customFormat="1" ht="38.25" customHeight="1">
      <c r="A43" s="201" t="s">
        <v>80</v>
      </c>
      <c r="B43" s="201" t="s">
        <v>81</v>
      </c>
      <c r="C43" s="201" t="s">
        <v>82</v>
      </c>
      <c r="D43" s="203" t="s">
        <v>83</v>
      </c>
      <c r="E43" s="117"/>
      <c r="F43" s="134"/>
      <c r="G43" s="238">
        <f t="shared" si="0"/>
        <v>2012250</v>
      </c>
      <c r="H43" s="238">
        <f>H44</f>
        <v>1212250</v>
      </c>
      <c r="I43" s="238">
        <f>I44</f>
        <v>800000</v>
      </c>
      <c r="J43" s="238">
        <f>J44</f>
        <v>800000</v>
      </c>
    </row>
    <row r="44" spans="1:10" s="185" customFormat="1" ht="50.25" customHeight="1">
      <c r="A44" s="5"/>
      <c r="B44" s="245"/>
      <c r="C44" s="245"/>
      <c r="D44" s="246"/>
      <c r="E44" s="119" t="s">
        <v>229</v>
      </c>
      <c r="F44" s="114" t="s">
        <v>227</v>
      </c>
      <c r="G44" s="247">
        <f t="shared" si="0"/>
        <v>2012250</v>
      </c>
      <c r="H44" s="247">
        <f>1200000+14400-200000+197850</f>
        <v>1212250</v>
      </c>
      <c r="I44" s="248">
        <f>800000</f>
        <v>800000</v>
      </c>
      <c r="J44" s="248">
        <f>800000</f>
        <v>800000</v>
      </c>
    </row>
    <row r="45" spans="1:10" s="244" customFormat="1" ht="68.25" customHeight="1">
      <c r="A45" s="201" t="s">
        <v>84</v>
      </c>
      <c r="B45" s="240" t="s">
        <v>85</v>
      </c>
      <c r="C45" s="240" t="s">
        <v>86</v>
      </c>
      <c r="D45" s="241" t="s">
        <v>87</v>
      </c>
      <c r="E45" s="117"/>
      <c r="F45" s="134"/>
      <c r="G45" s="238">
        <f t="shared" si="0"/>
        <v>7091300</v>
      </c>
      <c r="H45" s="238">
        <f>H46</f>
        <v>6091300</v>
      </c>
      <c r="I45" s="238">
        <f>I46</f>
        <v>1000000</v>
      </c>
      <c r="J45" s="238">
        <f>J46</f>
        <v>1000000</v>
      </c>
    </row>
    <row r="46" spans="1:10" s="185" customFormat="1" ht="50.25" customHeight="1">
      <c r="A46" s="5"/>
      <c r="B46" s="245"/>
      <c r="C46" s="245"/>
      <c r="D46" s="246"/>
      <c r="E46" s="131" t="s">
        <v>423</v>
      </c>
      <c r="F46" s="114" t="s">
        <v>433</v>
      </c>
      <c r="G46" s="247">
        <f t="shared" si="0"/>
        <v>7091300</v>
      </c>
      <c r="H46" s="247">
        <f>1000000+91300+1989100+4010900-1000000</f>
        <v>6091300</v>
      </c>
      <c r="I46" s="248">
        <f>1000000</f>
        <v>1000000</v>
      </c>
      <c r="J46" s="248">
        <f>1000000</f>
        <v>1000000</v>
      </c>
    </row>
    <row r="47" spans="1:10" s="244" customFormat="1" ht="50.25" customHeight="1" hidden="1">
      <c r="A47" s="201" t="s">
        <v>88</v>
      </c>
      <c r="B47" s="201" t="s">
        <v>89</v>
      </c>
      <c r="C47" s="201" t="s">
        <v>86</v>
      </c>
      <c r="D47" s="117" t="s">
        <v>90</v>
      </c>
      <c r="E47" s="117"/>
      <c r="F47" s="134"/>
      <c r="G47" s="238">
        <f t="shared" si="0"/>
        <v>0</v>
      </c>
      <c r="H47" s="238">
        <f>H48</f>
        <v>0</v>
      </c>
      <c r="I47" s="238">
        <f>I48</f>
        <v>0</v>
      </c>
      <c r="J47" s="238">
        <f>J48</f>
        <v>0</v>
      </c>
    </row>
    <row r="48" spans="1:10" s="185" customFormat="1" ht="50.25" customHeight="1" hidden="1">
      <c r="A48" s="5"/>
      <c r="B48" s="245"/>
      <c r="C48" s="245"/>
      <c r="D48" s="246"/>
      <c r="E48" s="54" t="s">
        <v>232</v>
      </c>
      <c r="F48" s="253" t="s">
        <v>227</v>
      </c>
      <c r="G48" s="247">
        <f t="shared" si="0"/>
        <v>0</v>
      </c>
      <c r="H48" s="247">
        <f>30000-30000</f>
        <v>0</v>
      </c>
      <c r="I48" s="248"/>
      <c r="J48" s="248"/>
    </row>
    <row r="49" spans="1:10" s="244" customFormat="1" ht="50.25" customHeight="1">
      <c r="A49" s="201" t="s">
        <v>91</v>
      </c>
      <c r="B49" s="240" t="s">
        <v>92</v>
      </c>
      <c r="C49" s="240" t="s">
        <v>93</v>
      </c>
      <c r="D49" s="241" t="s">
        <v>94</v>
      </c>
      <c r="E49" s="117"/>
      <c r="F49" s="134"/>
      <c r="G49" s="238">
        <f t="shared" si="0"/>
        <v>60000</v>
      </c>
      <c r="H49" s="238">
        <f>H50</f>
        <v>60000</v>
      </c>
      <c r="I49" s="238">
        <f>I50</f>
        <v>0</v>
      </c>
      <c r="J49" s="238">
        <f>J50</f>
        <v>0</v>
      </c>
    </row>
    <row r="50" spans="1:10" s="185" customFormat="1" ht="65.25" customHeight="1">
      <c r="A50" s="5"/>
      <c r="B50" s="245"/>
      <c r="C50" s="245"/>
      <c r="D50" s="246"/>
      <c r="E50" s="132" t="s">
        <v>420</v>
      </c>
      <c r="F50" s="114" t="s">
        <v>434</v>
      </c>
      <c r="G50" s="247">
        <f t="shared" si="0"/>
        <v>60000</v>
      </c>
      <c r="H50" s="247">
        <v>60000</v>
      </c>
      <c r="I50" s="248"/>
      <c r="J50" s="248"/>
    </row>
    <row r="51" spans="1:10" s="244" customFormat="1" ht="50.25" customHeight="1" hidden="1">
      <c r="A51" s="201" t="s">
        <v>95</v>
      </c>
      <c r="B51" s="201" t="s">
        <v>96</v>
      </c>
      <c r="C51" s="201" t="s">
        <v>93</v>
      </c>
      <c r="D51" s="117" t="s">
        <v>97</v>
      </c>
      <c r="E51" s="254"/>
      <c r="F51" s="243"/>
      <c r="G51" s="238">
        <f t="shared" si="0"/>
        <v>0</v>
      </c>
      <c r="H51" s="238">
        <f>H52</f>
        <v>0</v>
      </c>
      <c r="I51" s="238">
        <f>I52</f>
        <v>0</v>
      </c>
      <c r="J51" s="238">
        <f>J52</f>
        <v>0</v>
      </c>
    </row>
    <row r="52" spans="1:10" s="185" customFormat="1" ht="64.5" customHeight="1" hidden="1">
      <c r="A52" s="5"/>
      <c r="B52" s="5"/>
      <c r="C52" s="5"/>
      <c r="D52" s="246"/>
      <c r="E52" s="132" t="s">
        <v>297</v>
      </c>
      <c r="F52" s="253" t="s">
        <v>227</v>
      </c>
      <c r="G52" s="247">
        <f t="shared" si="0"/>
        <v>0</v>
      </c>
      <c r="H52" s="247"/>
      <c r="I52" s="248"/>
      <c r="J52" s="248"/>
    </row>
    <row r="53" spans="1:10" s="244" customFormat="1" ht="39.75" customHeight="1">
      <c r="A53" s="201"/>
      <c r="B53" s="201" t="s">
        <v>272</v>
      </c>
      <c r="C53" s="201"/>
      <c r="D53" s="117" t="s">
        <v>273</v>
      </c>
      <c r="E53" s="254"/>
      <c r="F53" s="243"/>
      <c r="G53" s="238">
        <f t="shared" si="0"/>
        <v>1209000</v>
      </c>
      <c r="H53" s="238">
        <f>H54+H58+H60+H56</f>
        <v>855000</v>
      </c>
      <c r="I53" s="238">
        <f>I54+I58+I60+I56</f>
        <v>354000</v>
      </c>
      <c r="J53" s="238">
        <f>J54+J58+J60+J56</f>
        <v>199000</v>
      </c>
    </row>
    <row r="54" spans="1:10" s="244" customFormat="1" ht="66" customHeight="1">
      <c r="A54" s="201" t="s">
        <v>396</v>
      </c>
      <c r="B54" s="201" t="s">
        <v>394</v>
      </c>
      <c r="C54" s="201" t="s">
        <v>274</v>
      </c>
      <c r="D54" s="117" t="s">
        <v>395</v>
      </c>
      <c r="E54" s="254"/>
      <c r="F54" s="243"/>
      <c r="G54" s="238">
        <f t="shared" si="0"/>
        <v>250000</v>
      </c>
      <c r="H54" s="238">
        <f>H55</f>
        <v>250000</v>
      </c>
      <c r="I54" s="238">
        <f>I55</f>
        <v>0</v>
      </c>
      <c r="J54" s="238">
        <f>J55</f>
        <v>0</v>
      </c>
    </row>
    <row r="55" spans="1:10" s="185" customFormat="1" ht="58.5" customHeight="1">
      <c r="A55" s="201"/>
      <c r="B55" s="201"/>
      <c r="C55" s="201"/>
      <c r="D55" s="241"/>
      <c r="E55" s="132" t="s">
        <v>354</v>
      </c>
      <c r="F55" s="114" t="s">
        <v>356</v>
      </c>
      <c r="G55" s="247">
        <f t="shared" si="0"/>
        <v>250000</v>
      </c>
      <c r="H55" s="247">
        <f>200000+50000</f>
        <v>250000</v>
      </c>
      <c r="I55" s="248"/>
      <c r="J55" s="248"/>
    </row>
    <row r="56" spans="1:10" s="244" customFormat="1" ht="39.75" customHeight="1">
      <c r="A56" s="201" t="s">
        <v>444</v>
      </c>
      <c r="B56" s="201" t="s">
        <v>445</v>
      </c>
      <c r="C56" s="201" t="s">
        <v>98</v>
      </c>
      <c r="D56" s="117" t="s">
        <v>446</v>
      </c>
      <c r="E56" s="254"/>
      <c r="F56" s="243"/>
      <c r="G56" s="238">
        <f>H56+I56</f>
        <v>249000</v>
      </c>
      <c r="H56" s="238">
        <f>SUM(H57:H57)</f>
        <v>50000</v>
      </c>
      <c r="I56" s="238">
        <f>SUM(I57:I57)</f>
        <v>199000</v>
      </c>
      <c r="J56" s="238">
        <f>SUM(J57:J57)</f>
        <v>199000</v>
      </c>
    </row>
    <row r="57" spans="1:10" s="185" customFormat="1" ht="57.75" customHeight="1">
      <c r="A57" s="201"/>
      <c r="B57" s="201"/>
      <c r="C57" s="201"/>
      <c r="D57" s="241"/>
      <c r="E57" s="132" t="s">
        <v>447</v>
      </c>
      <c r="F57" s="114" t="s">
        <v>448</v>
      </c>
      <c r="G57" s="247">
        <f>H57+I57</f>
        <v>249000</v>
      </c>
      <c r="H57" s="247">
        <v>50000</v>
      </c>
      <c r="I57" s="247">
        <v>199000</v>
      </c>
      <c r="J57" s="247">
        <v>199000</v>
      </c>
    </row>
    <row r="58" spans="1:10" s="244" customFormat="1" ht="39.75" customHeight="1">
      <c r="A58" s="201" t="s">
        <v>378</v>
      </c>
      <c r="B58" s="201" t="s">
        <v>379</v>
      </c>
      <c r="C58" s="201" t="s">
        <v>98</v>
      </c>
      <c r="D58" s="117" t="s">
        <v>380</v>
      </c>
      <c r="E58" s="254"/>
      <c r="F58" s="243"/>
      <c r="G58" s="238">
        <f t="shared" si="0"/>
        <v>555000</v>
      </c>
      <c r="H58" s="238">
        <f>SUM(H59:H59)</f>
        <v>555000</v>
      </c>
      <c r="I58" s="238">
        <f>SUM(I59:I59)</f>
        <v>0</v>
      </c>
      <c r="J58" s="238">
        <f>SUM(J59:J59)</f>
        <v>0</v>
      </c>
    </row>
    <row r="59" spans="1:10" s="185" customFormat="1" ht="57.75" customHeight="1">
      <c r="A59" s="201"/>
      <c r="B59" s="201"/>
      <c r="C59" s="201"/>
      <c r="D59" s="241"/>
      <c r="E59" s="132" t="s">
        <v>414</v>
      </c>
      <c r="F59" s="114" t="s">
        <v>398</v>
      </c>
      <c r="G59" s="247">
        <f t="shared" si="0"/>
        <v>555000</v>
      </c>
      <c r="H59" s="247">
        <f>500000+55000</f>
        <v>555000</v>
      </c>
      <c r="I59" s="247"/>
      <c r="J59" s="247"/>
    </row>
    <row r="60" spans="1:10" s="244" customFormat="1" ht="53.25" customHeight="1">
      <c r="A60" s="201" t="s">
        <v>99</v>
      </c>
      <c r="B60" s="240" t="s">
        <v>100</v>
      </c>
      <c r="C60" s="240" t="s">
        <v>101</v>
      </c>
      <c r="D60" s="241" t="s">
        <v>102</v>
      </c>
      <c r="E60" s="254"/>
      <c r="F60" s="243"/>
      <c r="G60" s="238">
        <f t="shared" si="0"/>
        <v>155000</v>
      </c>
      <c r="H60" s="238">
        <f>H61</f>
        <v>0</v>
      </c>
      <c r="I60" s="238">
        <f>I61</f>
        <v>155000</v>
      </c>
      <c r="J60" s="238">
        <f>J61</f>
        <v>0</v>
      </c>
    </row>
    <row r="61" spans="1:10" s="185" customFormat="1" ht="64.5" customHeight="1">
      <c r="A61" s="5"/>
      <c r="B61" s="245"/>
      <c r="C61" s="245"/>
      <c r="D61" s="246"/>
      <c r="E61" s="132" t="s">
        <v>231</v>
      </c>
      <c r="F61" s="114" t="s">
        <v>227</v>
      </c>
      <c r="G61" s="247">
        <f t="shared" si="0"/>
        <v>155000</v>
      </c>
      <c r="H61" s="247"/>
      <c r="I61" s="247">
        <f>145000+10000</f>
        <v>155000</v>
      </c>
      <c r="J61" s="247"/>
    </row>
    <row r="62" spans="1:10" s="185" customFormat="1" ht="45" customHeight="1">
      <c r="A62" s="201"/>
      <c r="B62" s="201" t="s">
        <v>293</v>
      </c>
      <c r="C62" s="201"/>
      <c r="D62" s="203" t="s">
        <v>294</v>
      </c>
      <c r="E62" s="117"/>
      <c r="F62" s="134"/>
      <c r="G62" s="238">
        <f>G63</f>
        <v>220000</v>
      </c>
      <c r="H62" s="238">
        <f>H63</f>
        <v>120000</v>
      </c>
      <c r="I62" s="238">
        <f>I63</f>
        <v>100000</v>
      </c>
      <c r="J62" s="238">
        <f>J63+J67+J69+J71+J74+J87</f>
        <v>100000</v>
      </c>
    </row>
    <row r="63" spans="1:10" s="185" customFormat="1" ht="72" customHeight="1">
      <c r="A63" s="201" t="s">
        <v>316</v>
      </c>
      <c r="B63" s="201" t="s">
        <v>317</v>
      </c>
      <c r="C63" s="201" t="s">
        <v>49</v>
      </c>
      <c r="D63" s="203" t="s">
        <v>318</v>
      </c>
      <c r="E63" s="117"/>
      <c r="F63" s="134"/>
      <c r="G63" s="238">
        <f>H63+I63</f>
        <v>220000</v>
      </c>
      <c r="H63" s="238">
        <f>SUM(H64:H66)</f>
        <v>120000</v>
      </c>
      <c r="I63" s="238">
        <f>SUM(I64:I66)</f>
        <v>100000</v>
      </c>
      <c r="J63" s="238">
        <f>SUM(J64:J66)</f>
        <v>100000</v>
      </c>
    </row>
    <row r="64" spans="1:10" s="185" customFormat="1" ht="59.25" customHeight="1">
      <c r="A64" s="255"/>
      <c r="B64" s="255"/>
      <c r="C64" s="255"/>
      <c r="D64" s="256"/>
      <c r="E64" s="257" t="s">
        <v>419</v>
      </c>
      <c r="F64" s="258" t="s">
        <v>428</v>
      </c>
      <c r="G64" s="247">
        <f>H64+I64</f>
        <v>60000</v>
      </c>
      <c r="H64" s="247">
        <v>60000</v>
      </c>
      <c r="I64" s="247"/>
      <c r="J64" s="247"/>
    </row>
    <row r="65" spans="1:10" s="185" customFormat="1" ht="64.5" customHeight="1">
      <c r="A65" s="255"/>
      <c r="B65" s="259"/>
      <c r="C65" s="259"/>
      <c r="D65" s="260"/>
      <c r="E65" s="257" t="s">
        <v>399</v>
      </c>
      <c r="F65" s="258" t="s">
        <v>400</v>
      </c>
      <c r="G65" s="247">
        <f>H65+I65</f>
        <v>160000</v>
      </c>
      <c r="H65" s="247">
        <f>60000</f>
        <v>60000</v>
      </c>
      <c r="I65" s="248">
        <v>100000</v>
      </c>
      <c r="J65" s="248">
        <v>100000</v>
      </c>
    </row>
    <row r="66" spans="1:10" s="185" customFormat="1" ht="64.5" customHeight="1" hidden="1">
      <c r="A66" s="255"/>
      <c r="B66" s="259"/>
      <c r="C66" s="259"/>
      <c r="D66" s="260"/>
      <c r="E66" s="257"/>
      <c r="F66" s="258"/>
      <c r="G66" s="247">
        <f>H66+I66</f>
        <v>0</v>
      </c>
      <c r="H66" s="247"/>
      <c r="I66" s="248"/>
      <c r="J66" s="248"/>
    </row>
    <row r="67" spans="1:10" s="239" customFormat="1" ht="36.75" customHeight="1">
      <c r="A67" s="199" t="s">
        <v>103</v>
      </c>
      <c r="B67" s="261"/>
      <c r="C67" s="261"/>
      <c r="D67" s="262" t="s">
        <v>275</v>
      </c>
      <c r="E67" s="263"/>
      <c r="F67" s="264"/>
      <c r="G67" s="238">
        <f t="shared" si="0"/>
        <v>492006</v>
      </c>
      <c r="H67" s="238">
        <f aca="true" t="shared" si="1" ref="H67:J69">H68</f>
        <v>492006</v>
      </c>
      <c r="I67" s="238">
        <f t="shared" si="1"/>
        <v>0</v>
      </c>
      <c r="J67" s="238">
        <f t="shared" si="1"/>
        <v>0</v>
      </c>
    </row>
    <row r="68" spans="1:10" s="239" customFormat="1" ht="36.75" customHeight="1">
      <c r="A68" s="199" t="s">
        <v>104</v>
      </c>
      <c r="B68" s="261"/>
      <c r="C68" s="261"/>
      <c r="D68" s="262" t="s">
        <v>275</v>
      </c>
      <c r="E68" s="263"/>
      <c r="F68" s="264"/>
      <c r="G68" s="238">
        <f t="shared" si="0"/>
        <v>492006</v>
      </c>
      <c r="H68" s="238">
        <f t="shared" si="1"/>
        <v>492006</v>
      </c>
      <c r="I68" s="238">
        <f t="shared" si="1"/>
        <v>0</v>
      </c>
      <c r="J68" s="238">
        <f t="shared" si="1"/>
        <v>0</v>
      </c>
    </row>
    <row r="69" spans="1:10" s="239" customFormat="1" ht="36.75" customHeight="1">
      <c r="A69" s="201"/>
      <c r="B69" s="201" t="s">
        <v>276</v>
      </c>
      <c r="C69" s="201"/>
      <c r="D69" s="117" t="s">
        <v>277</v>
      </c>
      <c r="E69" s="263"/>
      <c r="F69" s="264"/>
      <c r="G69" s="238">
        <f t="shared" si="0"/>
        <v>492006</v>
      </c>
      <c r="H69" s="238">
        <f t="shared" si="1"/>
        <v>492006</v>
      </c>
      <c r="I69" s="238">
        <f t="shared" si="1"/>
        <v>0</v>
      </c>
      <c r="J69" s="238">
        <f t="shared" si="1"/>
        <v>0</v>
      </c>
    </row>
    <row r="70" spans="1:10" s="244" customFormat="1" ht="42.75" customHeight="1">
      <c r="A70" s="201" t="s">
        <v>224</v>
      </c>
      <c r="B70" s="240" t="s">
        <v>125</v>
      </c>
      <c r="C70" s="240" t="s">
        <v>122</v>
      </c>
      <c r="D70" s="241" t="s">
        <v>225</v>
      </c>
      <c r="E70" s="265"/>
      <c r="F70" s="243"/>
      <c r="G70" s="238">
        <f t="shared" si="0"/>
        <v>492006</v>
      </c>
      <c r="H70" s="238">
        <f>SUM(H71:H74)</f>
        <v>492006</v>
      </c>
      <c r="I70" s="238">
        <f>SUM(I71:I74)</f>
        <v>0</v>
      </c>
      <c r="J70" s="238">
        <f>SUM(J71:J74)</f>
        <v>0</v>
      </c>
    </row>
    <row r="71" spans="1:10" s="185" customFormat="1" ht="60" customHeight="1">
      <c r="A71" s="5"/>
      <c r="B71" s="245"/>
      <c r="C71" s="245"/>
      <c r="D71" s="246"/>
      <c r="E71" s="133" t="s">
        <v>309</v>
      </c>
      <c r="F71" s="114" t="s">
        <v>227</v>
      </c>
      <c r="G71" s="247">
        <f aca="true" t="shared" si="2" ref="G71:G102">H71+I71</f>
        <v>124100</v>
      </c>
      <c r="H71" s="247">
        <f>109100+15000</f>
        <v>124100</v>
      </c>
      <c r="I71" s="248"/>
      <c r="J71" s="248"/>
    </row>
    <row r="72" spans="1:10" s="185" customFormat="1" ht="67.5" customHeight="1">
      <c r="A72" s="5"/>
      <c r="B72" s="245"/>
      <c r="C72" s="245"/>
      <c r="D72" s="246"/>
      <c r="E72" s="119" t="s">
        <v>359</v>
      </c>
      <c r="F72" s="114" t="s">
        <v>360</v>
      </c>
      <c r="G72" s="247">
        <f t="shared" si="2"/>
        <v>18100</v>
      </c>
      <c r="H72" s="247">
        <v>18100</v>
      </c>
      <c r="I72" s="248"/>
      <c r="J72" s="248"/>
    </row>
    <row r="73" spans="1:10" s="185" customFormat="1" ht="67.5" customHeight="1">
      <c r="A73" s="5"/>
      <c r="B73" s="245"/>
      <c r="C73" s="245"/>
      <c r="D73" s="246"/>
      <c r="E73" s="119" t="s">
        <v>452</v>
      </c>
      <c r="F73" s="114" t="s">
        <v>453</v>
      </c>
      <c r="G73" s="247">
        <f t="shared" si="2"/>
        <v>139806</v>
      </c>
      <c r="H73" s="247">
        <f>139806</f>
        <v>139806</v>
      </c>
      <c r="I73" s="248"/>
      <c r="J73" s="248"/>
    </row>
    <row r="74" spans="1:10" s="251" customFormat="1" ht="57" customHeight="1">
      <c r="A74" s="5"/>
      <c r="B74" s="245"/>
      <c r="C74" s="245"/>
      <c r="D74" s="246"/>
      <c r="E74" s="119" t="s">
        <v>362</v>
      </c>
      <c r="F74" s="114" t="s">
        <v>227</v>
      </c>
      <c r="G74" s="247">
        <f t="shared" si="2"/>
        <v>210000</v>
      </c>
      <c r="H74" s="247">
        <f>150000+60000</f>
        <v>210000</v>
      </c>
      <c r="I74" s="248"/>
      <c r="J74" s="248"/>
    </row>
    <row r="75" spans="1:10" s="239" customFormat="1" ht="42" customHeight="1">
      <c r="A75" s="199" t="s">
        <v>382</v>
      </c>
      <c r="B75" s="261"/>
      <c r="C75" s="261"/>
      <c r="D75" s="262" t="s">
        <v>383</v>
      </c>
      <c r="E75" s="263"/>
      <c r="F75" s="264"/>
      <c r="G75" s="238">
        <f t="shared" si="2"/>
        <v>2640500</v>
      </c>
      <c r="H75" s="238">
        <f aca="true" t="shared" si="3" ref="H75:J76">H76</f>
        <v>2640500</v>
      </c>
      <c r="I75" s="238">
        <f t="shared" si="3"/>
        <v>0</v>
      </c>
      <c r="J75" s="238">
        <f t="shared" si="3"/>
        <v>0</v>
      </c>
    </row>
    <row r="76" spans="1:10" s="239" customFormat="1" ht="39.75" customHeight="1">
      <c r="A76" s="199" t="s">
        <v>384</v>
      </c>
      <c r="B76" s="261"/>
      <c r="C76" s="261"/>
      <c r="D76" s="262" t="str">
        <f>D75</f>
        <v>Управління соціального захисту населення Тетіївської міської ради</v>
      </c>
      <c r="E76" s="263"/>
      <c r="F76" s="264"/>
      <c r="G76" s="238">
        <f t="shared" si="2"/>
        <v>2640500</v>
      </c>
      <c r="H76" s="238">
        <f t="shared" si="3"/>
        <v>2640500</v>
      </c>
      <c r="I76" s="238">
        <f t="shared" si="3"/>
        <v>0</v>
      </c>
      <c r="J76" s="238">
        <f t="shared" si="3"/>
        <v>0</v>
      </c>
    </row>
    <row r="77" spans="1:10" s="244" customFormat="1" ht="54.75" customHeight="1">
      <c r="A77" s="201"/>
      <c r="B77" s="201" t="s">
        <v>248</v>
      </c>
      <c r="C77" s="201"/>
      <c r="D77" s="117" t="s">
        <v>249</v>
      </c>
      <c r="E77" s="249"/>
      <c r="F77" s="243"/>
      <c r="G77" s="238">
        <f t="shared" si="2"/>
        <v>2640500</v>
      </c>
      <c r="H77" s="238">
        <f>H78+H82+H80</f>
        <v>2640500</v>
      </c>
      <c r="I77" s="238">
        <f>I78+I82+I80</f>
        <v>0</v>
      </c>
      <c r="J77" s="238">
        <f>J78+J82+J80</f>
        <v>0</v>
      </c>
    </row>
    <row r="78" spans="1:10" s="244" customFormat="1" ht="62.25" customHeight="1">
      <c r="A78" s="201" t="s">
        <v>386</v>
      </c>
      <c r="B78" s="201" t="s">
        <v>250</v>
      </c>
      <c r="C78" s="201" t="s">
        <v>61</v>
      </c>
      <c r="D78" s="203" t="s">
        <v>251</v>
      </c>
      <c r="E78" s="249"/>
      <c r="F78" s="243"/>
      <c r="G78" s="238">
        <f t="shared" si="2"/>
        <v>3500</v>
      </c>
      <c r="H78" s="238">
        <f>H79</f>
        <v>3500</v>
      </c>
      <c r="I78" s="238">
        <f>I79</f>
        <v>0</v>
      </c>
      <c r="J78" s="238">
        <f>J79</f>
        <v>0</v>
      </c>
    </row>
    <row r="79" spans="1:10" s="251" customFormat="1" ht="67.5" customHeight="1">
      <c r="A79" s="201"/>
      <c r="B79" s="201"/>
      <c r="C79" s="201"/>
      <c r="D79" s="252"/>
      <c r="E79" s="130" t="s">
        <v>426</v>
      </c>
      <c r="F79" s="114" t="s">
        <v>435</v>
      </c>
      <c r="G79" s="247">
        <f t="shared" si="2"/>
        <v>3500</v>
      </c>
      <c r="H79" s="247">
        <v>3500</v>
      </c>
      <c r="I79" s="247"/>
      <c r="J79" s="247"/>
    </row>
    <row r="80" spans="1:10" s="251" customFormat="1" ht="67.5" customHeight="1">
      <c r="A80" s="201" t="s">
        <v>190</v>
      </c>
      <c r="B80" s="201" t="s">
        <v>374</v>
      </c>
      <c r="C80" s="201" t="s">
        <v>63</v>
      </c>
      <c r="D80" s="117" t="s">
        <v>376</v>
      </c>
      <c r="E80" s="249"/>
      <c r="F80" s="243"/>
      <c r="G80" s="238">
        <f t="shared" si="2"/>
        <v>20000</v>
      </c>
      <c r="H80" s="238">
        <f>SUM(H81)</f>
        <v>20000</v>
      </c>
      <c r="I80" s="238">
        <f>SUM(I81)</f>
        <v>0</v>
      </c>
      <c r="J80" s="238">
        <f>SUM(J81)</f>
        <v>0</v>
      </c>
    </row>
    <row r="81" spans="1:10" s="251" customFormat="1" ht="63.75" customHeight="1">
      <c r="A81" s="201"/>
      <c r="B81" s="201"/>
      <c r="C81" s="201"/>
      <c r="D81" s="252"/>
      <c r="E81" s="130" t="s">
        <v>191</v>
      </c>
      <c r="F81" s="114" t="s">
        <v>192</v>
      </c>
      <c r="G81" s="247">
        <f t="shared" si="2"/>
        <v>20000</v>
      </c>
      <c r="H81" s="247">
        <f>20000</f>
        <v>20000</v>
      </c>
      <c r="I81" s="247"/>
      <c r="J81" s="247"/>
    </row>
    <row r="82" spans="1:10" s="244" customFormat="1" ht="60.75" customHeight="1">
      <c r="A82" s="201" t="s">
        <v>389</v>
      </c>
      <c r="B82" s="240" t="s">
        <v>67</v>
      </c>
      <c r="C82" s="240" t="s">
        <v>65</v>
      </c>
      <c r="D82" s="252" t="s">
        <v>68</v>
      </c>
      <c r="E82" s="249"/>
      <c r="F82" s="243"/>
      <c r="G82" s="238">
        <f t="shared" si="2"/>
        <v>2617000</v>
      </c>
      <c r="H82" s="238">
        <f>SUM(H83:H85)</f>
        <v>2617000</v>
      </c>
      <c r="I82" s="238">
        <f>SUM(I83:I85)</f>
        <v>0</v>
      </c>
      <c r="J82" s="238">
        <f>SUM(J83:J85)</f>
        <v>0</v>
      </c>
    </row>
    <row r="83" spans="1:10" s="185" customFormat="1" ht="52.5" customHeight="1">
      <c r="A83" s="5"/>
      <c r="B83" s="245"/>
      <c r="C83" s="245"/>
      <c r="D83" s="54"/>
      <c r="E83" s="119" t="s">
        <v>377</v>
      </c>
      <c r="F83" s="114" t="s">
        <v>227</v>
      </c>
      <c r="G83" s="247">
        <f t="shared" si="2"/>
        <v>992000</v>
      </c>
      <c r="H83" s="247">
        <f>638000+110000+100000+144000</f>
        <v>992000</v>
      </c>
      <c r="I83" s="248"/>
      <c r="J83" s="248"/>
    </row>
    <row r="84" spans="1:10" s="185" customFormat="1" ht="60.75" customHeight="1">
      <c r="A84" s="5"/>
      <c r="B84" s="245"/>
      <c r="C84" s="245"/>
      <c r="D84" s="246"/>
      <c r="E84" s="119" t="s">
        <v>243</v>
      </c>
      <c r="F84" s="114" t="s">
        <v>355</v>
      </c>
      <c r="G84" s="247">
        <f>H84+I84</f>
        <v>615000</v>
      </c>
      <c r="H84" s="247">
        <f>370000+140000+105000</f>
        <v>615000</v>
      </c>
      <c r="I84" s="248"/>
      <c r="J84" s="248"/>
    </row>
    <row r="85" spans="1:10" s="185" customFormat="1" ht="85.5" customHeight="1">
      <c r="A85" s="5"/>
      <c r="B85" s="245"/>
      <c r="C85" s="245"/>
      <c r="D85" s="246"/>
      <c r="E85" s="119" t="s">
        <v>425</v>
      </c>
      <c r="F85" s="114" t="s">
        <v>436</v>
      </c>
      <c r="G85" s="247">
        <f t="shared" si="2"/>
        <v>1010000</v>
      </c>
      <c r="H85" s="247">
        <f>300000+400000+310000</f>
        <v>1010000</v>
      </c>
      <c r="I85" s="248"/>
      <c r="J85" s="248"/>
    </row>
    <row r="86" spans="1:10" s="239" customFormat="1" ht="47.25" customHeight="1">
      <c r="A86" s="199" t="s">
        <v>142</v>
      </c>
      <c r="B86" s="261"/>
      <c r="C86" s="261"/>
      <c r="D86" s="262" t="s">
        <v>288</v>
      </c>
      <c r="E86" s="263"/>
      <c r="F86" s="264"/>
      <c r="G86" s="238">
        <f t="shared" si="2"/>
        <v>1364626</v>
      </c>
      <c r="H86" s="238">
        <f>H87</f>
        <v>1364626</v>
      </c>
      <c r="I86" s="238">
        <f>I87</f>
        <v>0</v>
      </c>
      <c r="J86" s="238">
        <f>J87</f>
        <v>0</v>
      </c>
    </row>
    <row r="87" spans="1:10" s="239" customFormat="1" ht="47.25" customHeight="1">
      <c r="A87" s="199" t="s">
        <v>143</v>
      </c>
      <c r="B87" s="261"/>
      <c r="C87" s="261"/>
      <c r="D87" s="262" t="s">
        <v>288</v>
      </c>
      <c r="E87" s="263"/>
      <c r="F87" s="264"/>
      <c r="G87" s="238">
        <f t="shared" si="2"/>
        <v>1364626</v>
      </c>
      <c r="H87" s="238">
        <f>H88+H91+H95</f>
        <v>1364626</v>
      </c>
      <c r="I87" s="238">
        <f>I88+I91</f>
        <v>0</v>
      </c>
      <c r="J87" s="238">
        <f>J88+J91</f>
        <v>0</v>
      </c>
    </row>
    <row r="88" spans="1:10" s="239" customFormat="1" ht="50.25" customHeight="1">
      <c r="A88" s="201"/>
      <c r="B88" s="201" t="s">
        <v>289</v>
      </c>
      <c r="C88" s="201"/>
      <c r="D88" s="117" t="s">
        <v>249</v>
      </c>
      <c r="E88" s="263"/>
      <c r="F88" s="264"/>
      <c r="G88" s="238">
        <f t="shared" si="2"/>
        <v>12000</v>
      </c>
      <c r="H88" s="238">
        <f aca="true" t="shared" si="4" ref="H88:J89">H89</f>
        <v>12000</v>
      </c>
      <c r="I88" s="238">
        <f t="shared" si="4"/>
        <v>0</v>
      </c>
      <c r="J88" s="238">
        <f t="shared" si="4"/>
        <v>0</v>
      </c>
    </row>
    <row r="89" spans="1:10" s="244" customFormat="1" ht="72" customHeight="1">
      <c r="A89" s="201" t="s">
        <v>147</v>
      </c>
      <c r="B89" s="240" t="s">
        <v>148</v>
      </c>
      <c r="C89" s="240" t="s">
        <v>63</v>
      </c>
      <c r="D89" s="241" t="s">
        <v>149</v>
      </c>
      <c r="E89" s="265"/>
      <c r="F89" s="243"/>
      <c r="G89" s="238">
        <f t="shared" si="2"/>
        <v>12000</v>
      </c>
      <c r="H89" s="238">
        <f t="shared" si="4"/>
        <v>12000</v>
      </c>
      <c r="I89" s="238">
        <f t="shared" si="4"/>
        <v>0</v>
      </c>
      <c r="J89" s="238">
        <f t="shared" si="4"/>
        <v>0</v>
      </c>
    </row>
    <row r="90" spans="1:10" s="185" customFormat="1" ht="61.5" customHeight="1">
      <c r="A90" s="5"/>
      <c r="B90" s="245"/>
      <c r="C90" s="245"/>
      <c r="D90" s="246"/>
      <c r="E90" s="133" t="s">
        <v>422</v>
      </c>
      <c r="F90" s="114" t="s">
        <v>437</v>
      </c>
      <c r="G90" s="247">
        <f t="shared" si="2"/>
        <v>12000</v>
      </c>
      <c r="H90" s="247">
        <v>12000</v>
      </c>
      <c r="I90" s="248"/>
      <c r="J90" s="248"/>
    </row>
    <row r="91" spans="1:10" s="244" customFormat="1" ht="39.75" customHeight="1">
      <c r="A91" s="201"/>
      <c r="B91" s="201" t="s">
        <v>290</v>
      </c>
      <c r="C91" s="201"/>
      <c r="D91" s="117" t="s">
        <v>291</v>
      </c>
      <c r="E91" s="266"/>
      <c r="F91" s="243"/>
      <c r="G91" s="238">
        <f t="shared" si="2"/>
        <v>92415</v>
      </c>
      <c r="H91" s="238">
        <f>H92</f>
        <v>92415</v>
      </c>
      <c r="I91" s="238">
        <f>I92</f>
        <v>0</v>
      </c>
      <c r="J91" s="238">
        <f>J92</f>
        <v>0</v>
      </c>
    </row>
    <row r="92" spans="1:10" s="244" customFormat="1" ht="42" customHeight="1">
      <c r="A92" s="201" t="s">
        <v>165</v>
      </c>
      <c r="B92" s="240" t="s">
        <v>166</v>
      </c>
      <c r="C92" s="240" t="s">
        <v>163</v>
      </c>
      <c r="D92" s="241" t="s">
        <v>167</v>
      </c>
      <c r="E92" s="267"/>
      <c r="F92" s="243"/>
      <c r="G92" s="238">
        <f t="shared" si="2"/>
        <v>92415</v>
      </c>
      <c r="H92" s="238">
        <f>SUM(H93:H94)</f>
        <v>92415</v>
      </c>
      <c r="I92" s="238">
        <f>SUM(I93:I94)</f>
        <v>0</v>
      </c>
      <c r="J92" s="238">
        <f>SUM(J93:J94)</f>
        <v>0</v>
      </c>
    </row>
    <row r="93" spans="1:10" s="251" customFormat="1" ht="53.25" customHeight="1">
      <c r="A93" s="5"/>
      <c r="B93" s="245"/>
      <c r="C93" s="245"/>
      <c r="D93" s="246"/>
      <c r="E93" s="268" t="s">
        <v>310</v>
      </c>
      <c r="F93" s="114" t="s">
        <v>227</v>
      </c>
      <c r="G93" s="247">
        <f t="shared" si="2"/>
        <v>63000</v>
      </c>
      <c r="H93" s="247">
        <v>63000</v>
      </c>
      <c r="I93" s="248"/>
      <c r="J93" s="248"/>
    </row>
    <row r="94" spans="1:10" s="251" customFormat="1" ht="62.25" customHeight="1">
      <c r="A94" s="5"/>
      <c r="B94" s="245"/>
      <c r="C94" s="245"/>
      <c r="D94" s="246"/>
      <c r="E94" s="119" t="s">
        <v>421</v>
      </c>
      <c r="F94" s="114" t="s">
        <v>438</v>
      </c>
      <c r="G94" s="247">
        <f t="shared" si="2"/>
        <v>29415</v>
      </c>
      <c r="H94" s="247">
        <f>6000+23415</f>
        <v>29415</v>
      </c>
      <c r="I94" s="248"/>
      <c r="J94" s="248"/>
    </row>
    <row r="95" spans="1:10" s="244" customFormat="1" ht="39.75" customHeight="1">
      <c r="A95" s="201"/>
      <c r="B95" s="201" t="s">
        <v>286</v>
      </c>
      <c r="C95" s="201"/>
      <c r="D95" s="117" t="s">
        <v>287</v>
      </c>
      <c r="E95" s="265"/>
      <c r="F95" s="243"/>
      <c r="G95" s="238">
        <f aca="true" t="shared" si="5" ref="G95:G101">H95+I95</f>
        <v>1260211</v>
      </c>
      <c r="H95" s="238">
        <f>H96+H98+H100</f>
        <v>1260211</v>
      </c>
      <c r="I95" s="238">
        <f>I96+I98+I100</f>
        <v>0</v>
      </c>
      <c r="J95" s="238">
        <f>J96+J98+J100</f>
        <v>0</v>
      </c>
    </row>
    <row r="96" spans="1:10" s="244" customFormat="1" ht="53.25" customHeight="1">
      <c r="A96" s="201" t="s">
        <v>168</v>
      </c>
      <c r="B96" s="240" t="s">
        <v>169</v>
      </c>
      <c r="C96" s="240" t="s">
        <v>140</v>
      </c>
      <c r="D96" s="241" t="s">
        <v>170</v>
      </c>
      <c r="E96" s="267"/>
      <c r="F96" s="243"/>
      <c r="G96" s="238">
        <f t="shared" si="5"/>
        <v>25000</v>
      </c>
      <c r="H96" s="238">
        <f>SUM(H97)</f>
        <v>25000</v>
      </c>
      <c r="I96" s="238">
        <f>SUM(I97)</f>
        <v>0</v>
      </c>
      <c r="J96" s="238">
        <f>SUM(J97)</f>
        <v>0</v>
      </c>
    </row>
    <row r="97" spans="1:10" s="251" customFormat="1" ht="57" customHeight="1">
      <c r="A97" s="5"/>
      <c r="B97" s="245"/>
      <c r="C97" s="245"/>
      <c r="D97" s="246"/>
      <c r="E97" s="268" t="s">
        <v>363</v>
      </c>
      <c r="F97" s="114" t="s">
        <v>365</v>
      </c>
      <c r="G97" s="247">
        <f t="shared" si="5"/>
        <v>25000</v>
      </c>
      <c r="H97" s="247">
        <f>15000+10000</f>
        <v>25000</v>
      </c>
      <c r="I97" s="248"/>
      <c r="J97" s="248"/>
    </row>
    <row r="98" spans="1:10" s="244" customFormat="1" ht="42" customHeight="1">
      <c r="A98" s="201" t="s">
        <v>174</v>
      </c>
      <c r="B98" s="240" t="s">
        <v>175</v>
      </c>
      <c r="C98" s="240" t="s">
        <v>140</v>
      </c>
      <c r="D98" s="241" t="s">
        <v>176</v>
      </c>
      <c r="E98" s="267"/>
      <c r="F98" s="243"/>
      <c r="G98" s="238">
        <f t="shared" si="5"/>
        <v>736331</v>
      </c>
      <c r="H98" s="238">
        <f>SUM(H99)</f>
        <v>736331</v>
      </c>
      <c r="I98" s="238">
        <f>SUM(I99)</f>
        <v>0</v>
      </c>
      <c r="J98" s="238">
        <f>SUM(J99)</f>
        <v>0</v>
      </c>
    </row>
    <row r="99" spans="1:10" s="251" customFormat="1" ht="62.25" customHeight="1">
      <c r="A99" s="5"/>
      <c r="B99" s="245"/>
      <c r="C99" s="245"/>
      <c r="D99" s="246"/>
      <c r="E99" s="268" t="s">
        <v>363</v>
      </c>
      <c r="F99" s="114" t="s">
        <v>365</v>
      </c>
      <c r="G99" s="247">
        <f t="shared" si="5"/>
        <v>736331</v>
      </c>
      <c r="H99" s="247">
        <f>622900+41991+50000+21440</f>
        <v>736331</v>
      </c>
      <c r="I99" s="248"/>
      <c r="J99" s="248"/>
    </row>
    <row r="100" spans="1:10" s="244" customFormat="1" ht="89.25" customHeight="1">
      <c r="A100" s="201" t="s">
        <v>311</v>
      </c>
      <c r="B100" s="240" t="s">
        <v>312</v>
      </c>
      <c r="C100" s="240" t="s">
        <v>140</v>
      </c>
      <c r="D100" s="241" t="s">
        <v>313</v>
      </c>
      <c r="E100" s="267"/>
      <c r="F100" s="243"/>
      <c r="G100" s="238">
        <f t="shared" si="5"/>
        <v>498880</v>
      </c>
      <c r="H100" s="238">
        <f>SUM(H101)</f>
        <v>498880</v>
      </c>
      <c r="I100" s="238">
        <f>SUM(I101)</f>
        <v>0</v>
      </c>
      <c r="J100" s="238">
        <f>SUM(J101)</f>
        <v>0</v>
      </c>
    </row>
    <row r="101" spans="1:10" s="251" customFormat="1" ht="57" customHeight="1">
      <c r="A101" s="5"/>
      <c r="B101" s="245"/>
      <c r="C101" s="245"/>
      <c r="D101" s="246"/>
      <c r="E101" s="268" t="s">
        <v>363</v>
      </c>
      <c r="F101" s="114" t="s">
        <v>365</v>
      </c>
      <c r="G101" s="247">
        <f t="shared" si="5"/>
        <v>498880</v>
      </c>
      <c r="H101" s="247">
        <f>418400-50000+41770+50000+12850+25860</f>
        <v>498880</v>
      </c>
      <c r="I101" s="248"/>
      <c r="J101" s="248"/>
    </row>
    <row r="102" spans="1:10" s="271" customFormat="1" ht="26.25" customHeight="1">
      <c r="A102" s="269" t="s">
        <v>1</v>
      </c>
      <c r="B102" s="269" t="s">
        <v>1</v>
      </c>
      <c r="C102" s="269" t="s">
        <v>1</v>
      </c>
      <c r="D102" s="261" t="s">
        <v>183</v>
      </c>
      <c r="E102" s="269" t="s">
        <v>1</v>
      </c>
      <c r="F102" s="270" t="s">
        <v>1</v>
      </c>
      <c r="G102" s="238">
        <f t="shared" si="2"/>
        <v>47066373</v>
      </c>
      <c r="H102" s="238">
        <f>H86+H67+H14+H75</f>
        <v>40015288</v>
      </c>
      <c r="I102" s="238">
        <f>I86+I67+I14+I75</f>
        <v>7051085</v>
      </c>
      <c r="J102" s="238">
        <f>J86+J67+J14+J75</f>
        <v>6896085</v>
      </c>
    </row>
    <row r="103" spans="1:10" s="277" customFormat="1" ht="15.75" customHeight="1">
      <c r="A103" s="272"/>
      <c r="B103" s="273"/>
      <c r="C103" s="273"/>
      <c r="D103" s="274"/>
      <c r="E103" s="275"/>
      <c r="F103" s="275"/>
      <c r="G103" s="275"/>
      <c r="H103" s="227"/>
      <c r="I103" s="276"/>
      <c r="J103" s="276"/>
    </row>
    <row r="104" spans="1:10" s="277" customFormat="1" ht="18">
      <c r="A104" s="272"/>
      <c r="B104" s="273"/>
      <c r="C104" s="273"/>
      <c r="D104" s="274"/>
      <c r="E104" s="275"/>
      <c r="F104" s="275"/>
      <c r="G104" s="275"/>
      <c r="H104" s="227"/>
      <c r="I104" s="276"/>
      <c r="J104" s="276"/>
    </row>
    <row r="105" spans="1:10" s="279" customFormat="1" ht="24.75" customHeight="1">
      <c r="A105" s="278"/>
      <c r="B105" s="484" t="str">
        <f>додаток1!A132</f>
        <v>Секретар міської ради                                                                        Наталія  ІВАНЮТА</v>
      </c>
      <c r="C105" s="484"/>
      <c r="D105" s="484"/>
      <c r="E105" s="484"/>
      <c r="F105" s="484"/>
      <c r="G105" s="484"/>
      <c r="H105" s="484"/>
      <c r="I105" s="484"/>
      <c r="J105" s="484"/>
    </row>
    <row r="106" spans="1:10" s="277" customFormat="1" ht="18">
      <c r="A106" s="272"/>
      <c r="B106" s="280"/>
      <c r="C106" s="280"/>
      <c r="D106" s="171"/>
      <c r="E106" s="276"/>
      <c r="F106" s="276"/>
      <c r="G106" s="276"/>
      <c r="H106" s="227"/>
      <c r="I106" s="276"/>
      <c r="J106" s="276"/>
    </row>
    <row r="107" spans="1:11" s="277" customFormat="1" ht="18">
      <c r="A107" s="272"/>
      <c r="B107" s="280"/>
      <c r="C107" s="280"/>
      <c r="D107" s="171"/>
      <c r="E107" s="276"/>
      <c r="F107" s="276"/>
      <c r="G107" s="276"/>
      <c r="H107" s="276"/>
      <c r="I107" s="196"/>
      <c r="J107" s="196"/>
      <c r="K107" s="207"/>
    </row>
    <row r="108" spans="1:10" s="277" customFormat="1" ht="18">
      <c r="A108" s="272"/>
      <c r="B108" s="280"/>
      <c r="C108" s="280"/>
      <c r="D108" s="171"/>
      <c r="E108" s="276"/>
      <c r="F108" s="276"/>
      <c r="G108" s="276"/>
      <c r="H108" s="227"/>
      <c r="I108" s="276"/>
      <c r="J108" s="276"/>
    </row>
    <row r="109" spans="1:10" s="277" customFormat="1" ht="18">
      <c r="A109" s="272"/>
      <c r="B109" s="280"/>
      <c r="C109" s="280"/>
      <c r="D109" s="171"/>
      <c r="E109" s="276"/>
      <c r="F109" s="276"/>
      <c r="G109" s="276"/>
      <c r="H109" s="227"/>
      <c r="I109" s="276"/>
      <c r="J109" s="276"/>
    </row>
    <row r="110" spans="1:10" s="277" customFormat="1" ht="18">
      <c r="A110" s="272"/>
      <c r="B110" s="280"/>
      <c r="C110" s="280"/>
      <c r="D110" s="171"/>
      <c r="E110" s="276"/>
      <c r="F110" s="276"/>
      <c r="G110" s="276"/>
      <c r="H110" s="227"/>
      <c r="I110" s="276"/>
      <c r="J110" s="276"/>
    </row>
    <row r="111" spans="1:10" s="277" customFormat="1" ht="18">
      <c r="A111" s="272"/>
      <c r="B111" s="280"/>
      <c r="C111" s="280"/>
      <c r="D111" s="171"/>
      <c r="E111" s="276"/>
      <c r="F111" s="276"/>
      <c r="G111" s="276"/>
      <c r="H111" s="227"/>
      <c r="I111" s="276"/>
      <c r="J111" s="276"/>
    </row>
    <row r="112" spans="1:10" s="277" customFormat="1" ht="18">
      <c r="A112" s="272"/>
      <c r="B112" s="280"/>
      <c r="C112" s="280"/>
      <c r="D112" s="171"/>
      <c r="E112" s="276"/>
      <c r="F112" s="276"/>
      <c r="G112" s="276"/>
      <c r="H112" s="227"/>
      <c r="I112" s="276"/>
      <c r="J112" s="276"/>
    </row>
    <row r="113" spans="1:10" s="277" customFormat="1" ht="18">
      <c r="A113" s="272"/>
      <c r="B113" s="280"/>
      <c r="C113" s="280"/>
      <c r="D113" s="171"/>
      <c r="E113" s="276"/>
      <c r="F113" s="276"/>
      <c r="G113" s="276"/>
      <c r="H113" s="227"/>
      <c r="I113" s="276"/>
      <c r="J113" s="276"/>
    </row>
    <row r="114" spans="1:10" s="277" customFormat="1" ht="18">
      <c r="A114" s="272"/>
      <c r="B114" s="280"/>
      <c r="C114" s="280"/>
      <c r="D114" s="171"/>
      <c r="E114" s="276"/>
      <c r="F114" s="276"/>
      <c r="G114" s="276"/>
      <c r="H114" s="227"/>
      <c r="I114" s="276"/>
      <c r="J114" s="276"/>
    </row>
    <row r="115" spans="1:10" s="277" customFormat="1" ht="18">
      <c r="A115" s="272"/>
      <c r="B115" s="280"/>
      <c r="C115" s="280"/>
      <c r="D115" s="171"/>
      <c r="E115" s="276"/>
      <c r="F115" s="276"/>
      <c r="G115" s="276"/>
      <c r="H115" s="227"/>
      <c r="I115" s="276"/>
      <c r="J115" s="276"/>
    </row>
    <row r="116" spans="1:10" s="277" customFormat="1" ht="18">
      <c r="A116" s="272"/>
      <c r="B116" s="280"/>
      <c r="C116" s="280"/>
      <c r="D116" s="171"/>
      <c r="E116" s="276"/>
      <c r="F116" s="276"/>
      <c r="G116" s="276"/>
      <c r="H116" s="227"/>
      <c r="I116" s="276"/>
      <c r="J116" s="276"/>
    </row>
    <row r="117" spans="1:10" s="277" customFormat="1" ht="18">
      <c r="A117" s="272"/>
      <c r="B117" s="280"/>
      <c r="C117" s="280"/>
      <c r="D117" s="171"/>
      <c r="E117" s="276"/>
      <c r="F117" s="276"/>
      <c r="G117" s="276"/>
      <c r="H117" s="227"/>
      <c r="I117" s="276"/>
      <c r="J117" s="276"/>
    </row>
    <row r="118" spans="1:10" s="277" customFormat="1" ht="18">
      <c r="A118" s="272"/>
      <c r="B118" s="280"/>
      <c r="C118" s="280"/>
      <c r="D118" s="171"/>
      <c r="E118" s="276"/>
      <c r="F118" s="276"/>
      <c r="G118" s="276"/>
      <c r="H118" s="227"/>
      <c r="I118" s="276"/>
      <c r="J118" s="276"/>
    </row>
    <row r="119" spans="1:10" s="277" customFormat="1" ht="18">
      <c r="A119" s="272"/>
      <c r="B119" s="280"/>
      <c r="C119" s="280"/>
      <c r="D119" s="171"/>
      <c r="E119" s="276"/>
      <c r="F119" s="276"/>
      <c r="G119" s="276"/>
      <c r="H119" s="227"/>
      <c r="I119" s="276"/>
      <c r="J119" s="276"/>
    </row>
    <row r="120" spans="1:10" s="277" customFormat="1" ht="18">
      <c r="A120" s="272"/>
      <c r="B120" s="280"/>
      <c r="C120" s="280"/>
      <c r="D120" s="171"/>
      <c r="E120" s="276"/>
      <c r="F120" s="276"/>
      <c r="G120" s="276"/>
      <c r="H120" s="227"/>
      <c r="I120" s="276"/>
      <c r="J120" s="276"/>
    </row>
    <row r="121" spans="1:10" s="277" customFormat="1" ht="18">
      <c r="A121" s="272"/>
      <c r="B121" s="280"/>
      <c r="C121" s="280"/>
      <c r="D121" s="171"/>
      <c r="E121" s="276"/>
      <c r="F121" s="276"/>
      <c r="G121" s="276"/>
      <c r="H121" s="227"/>
      <c r="I121" s="276"/>
      <c r="J121" s="276"/>
    </row>
    <row r="122" spans="1:10" s="277" customFormat="1" ht="18">
      <c r="A122" s="272"/>
      <c r="B122" s="280"/>
      <c r="C122" s="280"/>
      <c r="D122" s="171"/>
      <c r="E122" s="276"/>
      <c r="F122" s="276"/>
      <c r="G122" s="276"/>
      <c r="H122" s="227"/>
      <c r="I122" s="276"/>
      <c r="J122" s="276"/>
    </row>
    <row r="123" spans="1:10" s="277" customFormat="1" ht="18">
      <c r="A123" s="272"/>
      <c r="B123" s="280"/>
      <c r="C123" s="280"/>
      <c r="D123" s="171"/>
      <c r="E123" s="276"/>
      <c r="F123" s="276"/>
      <c r="G123" s="276"/>
      <c r="H123" s="227"/>
      <c r="I123" s="276"/>
      <c r="J123" s="276"/>
    </row>
    <row r="124" spans="1:10" s="277" customFormat="1" ht="18">
      <c r="A124" s="272"/>
      <c r="B124" s="280"/>
      <c r="C124" s="280"/>
      <c r="D124" s="171"/>
      <c r="E124" s="276"/>
      <c r="F124" s="276"/>
      <c r="G124" s="276"/>
      <c r="H124" s="227"/>
      <c r="I124" s="276"/>
      <c r="J124" s="276"/>
    </row>
    <row r="125" spans="1:10" s="277" customFormat="1" ht="18">
      <c r="A125" s="272"/>
      <c r="B125" s="280"/>
      <c r="C125" s="280"/>
      <c r="D125" s="171"/>
      <c r="E125" s="276"/>
      <c r="F125" s="276"/>
      <c r="G125" s="276"/>
      <c r="H125" s="227"/>
      <c r="I125" s="276"/>
      <c r="J125" s="276"/>
    </row>
    <row r="126" spans="1:10" s="277" customFormat="1" ht="18">
      <c r="A126" s="272"/>
      <c r="B126" s="280"/>
      <c r="C126" s="280"/>
      <c r="D126" s="171"/>
      <c r="E126" s="276"/>
      <c r="F126" s="276"/>
      <c r="G126" s="276"/>
      <c r="H126" s="227"/>
      <c r="I126" s="276"/>
      <c r="J126" s="276"/>
    </row>
    <row r="127" spans="1:10" s="277" customFormat="1" ht="18">
      <c r="A127" s="272"/>
      <c r="B127" s="280"/>
      <c r="C127" s="280"/>
      <c r="D127" s="171"/>
      <c r="E127" s="276"/>
      <c r="F127" s="276"/>
      <c r="G127" s="276"/>
      <c r="H127" s="227"/>
      <c r="I127" s="276"/>
      <c r="J127" s="276"/>
    </row>
    <row r="128" spans="1:10" s="277" customFormat="1" ht="18">
      <c r="A128" s="272"/>
      <c r="B128" s="280"/>
      <c r="C128" s="280"/>
      <c r="D128" s="171"/>
      <c r="E128" s="276"/>
      <c r="F128" s="276"/>
      <c r="G128" s="276"/>
      <c r="H128" s="227"/>
      <c r="I128" s="276"/>
      <c r="J128" s="276"/>
    </row>
    <row r="129" spans="1:10" s="277" customFormat="1" ht="18">
      <c r="A129" s="272"/>
      <c r="B129" s="280"/>
      <c r="C129" s="280"/>
      <c r="D129" s="171"/>
      <c r="E129" s="276"/>
      <c r="F129" s="276"/>
      <c r="G129" s="276"/>
      <c r="H129" s="227"/>
      <c r="I129" s="276"/>
      <c r="J129" s="276"/>
    </row>
    <row r="130" spans="1:10" s="277" customFormat="1" ht="18">
      <c r="A130" s="272"/>
      <c r="B130" s="280"/>
      <c r="C130" s="280"/>
      <c r="D130" s="171"/>
      <c r="E130" s="276"/>
      <c r="F130" s="276"/>
      <c r="G130" s="276"/>
      <c r="H130" s="227"/>
      <c r="I130" s="276"/>
      <c r="J130" s="276"/>
    </row>
    <row r="131" spans="1:10" s="277" customFormat="1" ht="18">
      <c r="A131" s="272"/>
      <c r="B131" s="280"/>
      <c r="C131" s="280"/>
      <c r="D131" s="171"/>
      <c r="E131" s="276"/>
      <c r="F131" s="276"/>
      <c r="G131" s="276"/>
      <c r="H131" s="227"/>
      <c r="I131" s="276"/>
      <c r="J131" s="276"/>
    </row>
    <row r="132" spans="1:10" s="277" customFormat="1" ht="18">
      <c r="A132" s="272"/>
      <c r="B132" s="280"/>
      <c r="C132" s="280"/>
      <c r="D132" s="171"/>
      <c r="E132" s="276"/>
      <c r="F132" s="276"/>
      <c r="G132" s="276"/>
      <c r="H132" s="227"/>
      <c r="I132" s="276"/>
      <c r="J132" s="276"/>
    </row>
    <row r="133" spans="1:10" s="277" customFormat="1" ht="18">
      <c r="A133" s="272"/>
      <c r="B133" s="280"/>
      <c r="C133" s="280"/>
      <c r="D133" s="171"/>
      <c r="E133" s="276"/>
      <c r="F133" s="276"/>
      <c r="G133" s="276"/>
      <c r="H133" s="227"/>
      <c r="I133" s="276"/>
      <c r="J133" s="276"/>
    </row>
    <row r="134" spans="1:10" s="277" customFormat="1" ht="18">
      <c r="A134" s="272"/>
      <c r="B134" s="280"/>
      <c r="C134" s="280"/>
      <c r="D134" s="171"/>
      <c r="E134" s="276"/>
      <c r="F134" s="276"/>
      <c r="G134" s="276"/>
      <c r="H134" s="227"/>
      <c r="I134" s="276"/>
      <c r="J134" s="276"/>
    </row>
    <row r="135" spans="1:10" s="277" customFormat="1" ht="18">
      <c r="A135" s="272"/>
      <c r="B135" s="280"/>
      <c r="C135" s="280"/>
      <c r="D135" s="171"/>
      <c r="E135" s="276"/>
      <c r="F135" s="276"/>
      <c r="G135" s="276"/>
      <c r="H135" s="227"/>
      <c r="I135" s="276"/>
      <c r="J135" s="276"/>
    </row>
    <row r="136" spans="1:10" s="277" customFormat="1" ht="18">
      <c r="A136" s="272"/>
      <c r="B136" s="280"/>
      <c r="C136" s="280"/>
      <c r="D136" s="171"/>
      <c r="E136" s="276"/>
      <c r="F136" s="276"/>
      <c r="G136" s="276"/>
      <c r="H136" s="227"/>
      <c r="I136" s="276"/>
      <c r="J136" s="276"/>
    </row>
    <row r="137" spans="1:10" s="277" customFormat="1" ht="18">
      <c r="A137" s="272"/>
      <c r="B137" s="280"/>
      <c r="C137" s="280"/>
      <c r="D137" s="171"/>
      <c r="E137" s="276"/>
      <c r="F137" s="276"/>
      <c r="G137" s="276"/>
      <c r="H137" s="227"/>
      <c r="I137" s="276"/>
      <c r="J137" s="276"/>
    </row>
    <row r="138" spans="1:10" s="277" customFormat="1" ht="18">
      <c r="A138" s="272"/>
      <c r="B138" s="280"/>
      <c r="C138" s="280"/>
      <c r="D138" s="171"/>
      <c r="E138" s="276"/>
      <c r="F138" s="276"/>
      <c r="G138" s="276"/>
      <c r="H138" s="227"/>
      <c r="I138" s="276"/>
      <c r="J138" s="276"/>
    </row>
    <row r="139" spans="1:10" s="277" customFormat="1" ht="18">
      <c r="A139" s="272"/>
      <c r="B139" s="280"/>
      <c r="C139" s="280"/>
      <c r="D139" s="171"/>
      <c r="E139" s="276"/>
      <c r="F139" s="276"/>
      <c r="G139" s="276"/>
      <c r="H139" s="227"/>
      <c r="I139" s="276"/>
      <c r="J139" s="276"/>
    </row>
    <row r="140" spans="2:10" ht="18">
      <c r="B140" s="281"/>
      <c r="C140" s="281"/>
      <c r="D140" s="282"/>
      <c r="E140" s="196"/>
      <c r="F140" s="196"/>
      <c r="G140" s="196"/>
      <c r="H140" s="283"/>
      <c r="I140" s="196"/>
      <c r="J140" s="196"/>
    </row>
    <row r="141" spans="2:10" ht="18">
      <c r="B141" s="281"/>
      <c r="C141" s="281"/>
      <c r="D141" s="282"/>
      <c r="E141" s="196"/>
      <c r="F141" s="196"/>
      <c r="G141" s="196"/>
      <c r="H141" s="283"/>
      <c r="I141" s="196"/>
      <c r="J141" s="196"/>
    </row>
    <row r="142" spans="2:10" ht="18">
      <c r="B142" s="281"/>
      <c r="C142" s="281"/>
      <c r="D142" s="282"/>
      <c r="E142" s="196"/>
      <c r="F142" s="196"/>
      <c r="G142" s="196"/>
      <c r="H142" s="283"/>
      <c r="I142" s="196"/>
      <c r="J142" s="196"/>
    </row>
    <row r="143" spans="2:10" ht="18">
      <c r="B143" s="281"/>
      <c r="C143" s="281"/>
      <c r="D143" s="282"/>
      <c r="E143" s="196"/>
      <c r="F143" s="196"/>
      <c r="G143" s="196"/>
      <c r="H143" s="283"/>
      <c r="I143" s="196"/>
      <c r="J143" s="196"/>
    </row>
    <row r="144" spans="2:10" ht="18">
      <c r="B144" s="281"/>
      <c r="C144" s="281"/>
      <c r="D144" s="282"/>
      <c r="E144" s="196"/>
      <c r="F144" s="196"/>
      <c r="G144" s="196"/>
      <c r="H144" s="283"/>
      <c r="I144" s="196"/>
      <c r="J144" s="196"/>
    </row>
    <row r="145" spans="2:10" ht="18">
      <c r="B145" s="281"/>
      <c r="C145" s="281"/>
      <c r="D145" s="282"/>
      <c r="E145" s="196"/>
      <c r="F145" s="196"/>
      <c r="G145" s="196"/>
      <c r="H145" s="283"/>
      <c r="I145" s="196"/>
      <c r="J145" s="196"/>
    </row>
    <row r="146" spans="2:10" ht="18">
      <c r="B146" s="281"/>
      <c r="C146" s="281"/>
      <c r="D146" s="282"/>
      <c r="E146" s="196"/>
      <c r="F146" s="196"/>
      <c r="G146" s="196"/>
      <c r="H146" s="283"/>
      <c r="I146" s="196"/>
      <c r="J146" s="196"/>
    </row>
    <row r="147" spans="2:10" ht="18">
      <c r="B147" s="281"/>
      <c r="C147" s="281"/>
      <c r="D147" s="282"/>
      <c r="E147" s="196"/>
      <c r="F147" s="196"/>
      <c r="G147" s="196"/>
      <c r="H147" s="283"/>
      <c r="I147" s="196"/>
      <c r="J147" s="196"/>
    </row>
    <row r="148" spans="2:10" ht="18">
      <c r="B148" s="281"/>
      <c r="C148" s="281"/>
      <c r="D148" s="282"/>
      <c r="E148" s="196"/>
      <c r="F148" s="196"/>
      <c r="G148" s="196"/>
      <c r="H148" s="283"/>
      <c r="I148" s="196"/>
      <c r="J148" s="196"/>
    </row>
    <row r="149" spans="2:10" ht="18">
      <c r="B149" s="281"/>
      <c r="C149" s="281"/>
      <c r="D149" s="282"/>
      <c r="E149" s="196"/>
      <c r="F149" s="196"/>
      <c r="G149" s="196"/>
      <c r="H149" s="283"/>
      <c r="I149" s="196"/>
      <c r="J149" s="196"/>
    </row>
    <row r="150" spans="2:10" ht="18">
      <c r="B150" s="281"/>
      <c r="C150" s="281"/>
      <c r="D150" s="282"/>
      <c r="E150" s="196"/>
      <c r="F150" s="196"/>
      <c r="G150" s="196"/>
      <c r="H150" s="283"/>
      <c r="I150" s="196"/>
      <c r="J150" s="196"/>
    </row>
    <row r="151" spans="2:10" ht="18">
      <c r="B151" s="281"/>
      <c r="C151" s="281"/>
      <c r="D151" s="282"/>
      <c r="E151" s="196"/>
      <c r="F151" s="196"/>
      <c r="G151" s="196"/>
      <c r="H151" s="283"/>
      <c r="I151" s="196"/>
      <c r="J151" s="196"/>
    </row>
    <row r="152" spans="2:10" ht="18">
      <c r="B152" s="281"/>
      <c r="C152" s="281"/>
      <c r="D152" s="282"/>
      <c r="E152" s="196"/>
      <c r="F152" s="196"/>
      <c r="G152" s="196"/>
      <c r="H152" s="283"/>
      <c r="I152" s="196"/>
      <c r="J152" s="196"/>
    </row>
    <row r="153" spans="2:10" ht="18">
      <c r="B153" s="281"/>
      <c r="C153" s="281"/>
      <c r="D153" s="282"/>
      <c r="E153" s="196"/>
      <c r="F153" s="196"/>
      <c r="G153" s="196"/>
      <c r="H153" s="283"/>
      <c r="I153" s="196"/>
      <c r="J153" s="196"/>
    </row>
    <row r="154" spans="2:10" ht="18">
      <c r="B154" s="281"/>
      <c r="C154" s="281"/>
      <c r="D154" s="282"/>
      <c r="E154" s="196"/>
      <c r="F154" s="196"/>
      <c r="G154" s="196"/>
      <c r="H154" s="283"/>
      <c r="I154" s="196"/>
      <c r="J154" s="196"/>
    </row>
    <row r="155" spans="2:10" ht="18">
      <c r="B155" s="281"/>
      <c r="C155" s="281"/>
      <c r="D155" s="282"/>
      <c r="E155" s="196"/>
      <c r="F155" s="196"/>
      <c r="G155" s="196"/>
      <c r="H155" s="283"/>
      <c r="I155" s="196"/>
      <c r="J155" s="196"/>
    </row>
    <row r="156" spans="2:10" ht="18">
      <c r="B156" s="281"/>
      <c r="C156" s="281"/>
      <c r="D156" s="282"/>
      <c r="E156" s="196"/>
      <c r="F156" s="196"/>
      <c r="G156" s="196"/>
      <c r="H156" s="283"/>
      <c r="I156" s="196"/>
      <c r="J156" s="196"/>
    </row>
    <row r="157" spans="2:10" ht="18">
      <c r="B157" s="281"/>
      <c r="C157" s="281"/>
      <c r="D157" s="282"/>
      <c r="E157" s="196"/>
      <c r="F157" s="196"/>
      <c r="G157" s="196"/>
      <c r="H157" s="283"/>
      <c r="I157" s="196"/>
      <c r="J157" s="196"/>
    </row>
    <row r="158" spans="2:10" ht="18">
      <c r="B158" s="281"/>
      <c r="C158" s="281"/>
      <c r="D158" s="282"/>
      <c r="E158" s="196"/>
      <c r="F158" s="196"/>
      <c r="G158" s="196"/>
      <c r="H158" s="283"/>
      <c r="I158" s="196"/>
      <c r="J158" s="196"/>
    </row>
    <row r="159" spans="2:10" ht="18">
      <c r="B159" s="281"/>
      <c r="C159" s="281"/>
      <c r="D159" s="282"/>
      <c r="E159" s="196"/>
      <c r="F159" s="196"/>
      <c r="G159" s="196"/>
      <c r="H159" s="283"/>
      <c r="I159" s="196"/>
      <c r="J159" s="196"/>
    </row>
    <row r="160" spans="2:10" ht="18">
      <c r="B160" s="281"/>
      <c r="C160" s="281"/>
      <c r="D160" s="282"/>
      <c r="E160" s="196"/>
      <c r="F160" s="196"/>
      <c r="G160" s="196"/>
      <c r="H160" s="283"/>
      <c r="I160" s="196"/>
      <c r="J160" s="196"/>
    </row>
    <row r="161" spans="2:10" ht="18">
      <c r="B161" s="281"/>
      <c r="C161" s="281"/>
      <c r="D161" s="282"/>
      <c r="E161" s="196"/>
      <c r="F161" s="196"/>
      <c r="G161" s="196"/>
      <c r="H161" s="283"/>
      <c r="I161" s="196"/>
      <c r="J161" s="196"/>
    </row>
    <row r="162" spans="2:10" ht="18">
      <c r="B162" s="281"/>
      <c r="C162" s="281"/>
      <c r="D162" s="282"/>
      <c r="E162" s="196"/>
      <c r="F162" s="196"/>
      <c r="G162" s="196"/>
      <c r="H162" s="283"/>
      <c r="I162" s="196"/>
      <c r="J162" s="196"/>
    </row>
    <row r="163" spans="2:10" ht="18">
      <c r="B163" s="281"/>
      <c r="C163" s="281"/>
      <c r="D163" s="282"/>
      <c r="E163" s="196"/>
      <c r="F163" s="196"/>
      <c r="G163" s="196"/>
      <c r="H163" s="283"/>
      <c r="I163" s="196"/>
      <c r="J163" s="196"/>
    </row>
    <row r="164" spans="2:10" ht="18">
      <c r="B164" s="281"/>
      <c r="C164" s="281"/>
      <c r="D164" s="282"/>
      <c r="E164" s="196"/>
      <c r="F164" s="196"/>
      <c r="G164" s="196"/>
      <c r="H164" s="283"/>
      <c r="I164" s="196"/>
      <c r="J164" s="196"/>
    </row>
    <row r="165" spans="2:10" ht="18">
      <c r="B165" s="281"/>
      <c r="C165" s="281"/>
      <c r="D165" s="282"/>
      <c r="E165" s="196"/>
      <c r="F165" s="196"/>
      <c r="G165" s="196"/>
      <c r="H165" s="283"/>
      <c r="I165" s="196"/>
      <c r="J165" s="196"/>
    </row>
    <row r="166" spans="2:10" ht="18">
      <c r="B166" s="281"/>
      <c r="C166" s="281"/>
      <c r="D166" s="282"/>
      <c r="E166" s="196"/>
      <c r="F166" s="196"/>
      <c r="G166" s="196"/>
      <c r="H166" s="283"/>
      <c r="I166" s="196"/>
      <c r="J166" s="196"/>
    </row>
    <row r="167" spans="2:10" ht="18">
      <c r="B167" s="281"/>
      <c r="C167" s="281"/>
      <c r="D167" s="282"/>
      <c r="E167" s="196"/>
      <c r="F167" s="196"/>
      <c r="G167" s="196"/>
      <c r="H167" s="283"/>
      <c r="I167" s="196"/>
      <c r="J167" s="196"/>
    </row>
    <row r="168" spans="2:10" ht="18">
      <c r="B168" s="281"/>
      <c r="C168" s="281"/>
      <c r="D168" s="282"/>
      <c r="E168" s="196"/>
      <c r="F168" s="196"/>
      <c r="G168" s="196"/>
      <c r="H168" s="283"/>
      <c r="I168" s="196"/>
      <c r="J168" s="196"/>
    </row>
    <row r="169" spans="2:10" ht="18">
      <c r="B169" s="281"/>
      <c r="C169" s="281"/>
      <c r="D169" s="282"/>
      <c r="E169" s="196"/>
      <c r="F169" s="196"/>
      <c r="G169" s="196"/>
      <c r="H169" s="283"/>
      <c r="I169" s="196"/>
      <c r="J169" s="196"/>
    </row>
    <row r="170" spans="2:10" ht="18">
      <c r="B170" s="281"/>
      <c r="C170" s="281"/>
      <c r="D170" s="282"/>
      <c r="E170" s="196"/>
      <c r="F170" s="196"/>
      <c r="G170" s="196"/>
      <c r="H170" s="283"/>
      <c r="I170" s="196"/>
      <c r="J170" s="196"/>
    </row>
    <row r="171" spans="2:10" ht="18">
      <c r="B171" s="281"/>
      <c r="C171" s="281"/>
      <c r="D171" s="282"/>
      <c r="E171" s="196"/>
      <c r="F171" s="196"/>
      <c r="G171" s="196"/>
      <c r="H171" s="283"/>
      <c r="I171" s="196"/>
      <c r="J171" s="196"/>
    </row>
    <row r="172" spans="2:10" ht="18">
      <c r="B172" s="281"/>
      <c r="C172" s="281"/>
      <c r="D172" s="282"/>
      <c r="E172" s="196"/>
      <c r="F172" s="196"/>
      <c r="G172" s="196"/>
      <c r="H172" s="283"/>
      <c r="I172" s="196"/>
      <c r="J172" s="196"/>
    </row>
    <row r="173" spans="2:10" ht="18">
      <c r="B173" s="281"/>
      <c r="C173" s="281"/>
      <c r="D173" s="282"/>
      <c r="E173" s="196"/>
      <c r="F173" s="196"/>
      <c r="G173" s="196"/>
      <c r="H173" s="283"/>
      <c r="I173" s="196"/>
      <c r="J173" s="196"/>
    </row>
    <row r="174" spans="2:10" ht="18">
      <c r="B174" s="281"/>
      <c r="C174" s="281"/>
      <c r="D174" s="282"/>
      <c r="E174" s="196"/>
      <c r="F174" s="196"/>
      <c r="G174" s="196"/>
      <c r="H174" s="283"/>
      <c r="I174" s="196"/>
      <c r="J174" s="196"/>
    </row>
    <row r="175" spans="2:10" ht="18">
      <c r="B175" s="281"/>
      <c r="C175" s="281"/>
      <c r="D175" s="282"/>
      <c r="E175" s="196"/>
      <c r="F175" s="196"/>
      <c r="G175" s="196"/>
      <c r="H175" s="283"/>
      <c r="I175" s="196"/>
      <c r="J175" s="196"/>
    </row>
    <row r="176" spans="2:10" ht="18">
      <c r="B176" s="281"/>
      <c r="C176" s="281"/>
      <c r="D176" s="282"/>
      <c r="E176" s="196"/>
      <c r="F176" s="196"/>
      <c r="G176" s="196"/>
      <c r="H176" s="283"/>
      <c r="I176" s="196"/>
      <c r="J176" s="196"/>
    </row>
    <row r="177" spans="2:10" ht="18">
      <c r="B177" s="281"/>
      <c r="C177" s="281"/>
      <c r="D177" s="282"/>
      <c r="E177" s="196"/>
      <c r="F177" s="196"/>
      <c r="G177" s="196"/>
      <c r="H177" s="283"/>
      <c r="I177" s="196"/>
      <c r="J177" s="196"/>
    </row>
    <row r="178" spans="2:10" ht="18">
      <c r="B178" s="281"/>
      <c r="C178" s="281"/>
      <c r="D178" s="282"/>
      <c r="E178" s="196"/>
      <c r="F178" s="196"/>
      <c r="G178" s="196"/>
      <c r="H178" s="283"/>
      <c r="I178" s="196"/>
      <c r="J178" s="196"/>
    </row>
    <row r="179" spans="2:10" ht="18">
      <c r="B179" s="281"/>
      <c r="C179" s="281"/>
      <c r="D179" s="282"/>
      <c r="E179" s="196"/>
      <c r="F179" s="196"/>
      <c r="G179" s="196"/>
      <c r="H179" s="283"/>
      <c r="I179" s="196"/>
      <c r="J179" s="196"/>
    </row>
    <row r="180" spans="2:10" ht="18">
      <c r="B180" s="281"/>
      <c r="C180" s="281"/>
      <c r="D180" s="282"/>
      <c r="E180" s="196"/>
      <c r="F180" s="196"/>
      <c r="G180" s="196"/>
      <c r="H180" s="283"/>
      <c r="I180" s="196"/>
      <c r="J180" s="196"/>
    </row>
    <row r="181" spans="2:10" ht="18">
      <c r="B181" s="281"/>
      <c r="C181" s="281"/>
      <c r="D181" s="282"/>
      <c r="E181" s="196"/>
      <c r="F181" s="196"/>
      <c r="G181" s="196"/>
      <c r="H181" s="283"/>
      <c r="I181" s="196"/>
      <c r="J181" s="196"/>
    </row>
    <row r="182" spans="2:10" ht="18">
      <c r="B182" s="281"/>
      <c r="C182" s="281"/>
      <c r="D182" s="282"/>
      <c r="E182" s="196"/>
      <c r="F182" s="196"/>
      <c r="G182" s="196"/>
      <c r="H182" s="283"/>
      <c r="I182" s="196"/>
      <c r="J182" s="196"/>
    </row>
    <row r="183" spans="2:10" ht="18">
      <c r="B183" s="281"/>
      <c r="C183" s="281"/>
      <c r="D183" s="282"/>
      <c r="E183" s="196"/>
      <c r="F183" s="196"/>
      <c r="G183" s="196"/>
      <c r="H183" s="283"/>
      <c r="I183" s="196"/>
      <c r="J183" s="196"/>
    </row>
    <row r="184" spans="2:10" ht="18">
      <c r="B184" s="281"/>
      <c r="C184" s="281"/>
      <c r="D184" s="282"/>
      <c r="E184" s="196"/>
      <c r="F184" s="196"/>
      <c r="G184" s="196"/>
      <c r="H184" s="283"/>
      <c r="I184" s="196"/>
      <c r="J184" s="196"/>
    </row>
    <row r="185" spans="2:10" ht="18">
      <c r="B185" s="281"/>
      <c r="C185" s="281"/>
      <c r="D185" s="282"/>
      <c r="E185" s="196"/>
      <c r="F185" s="196"/>
      <c r="G185" s="196"/>
      <c r="H185" s="283"/>
      <c r="I185" s="196"/>
      <c r="J185" s="196"/>
    </row>
    <row r="186" spans="2:10" ht="18">
      <c r="B186" s="281"/>
      <c r="C186" s="281"/>
      <c r="D186" s="282"/>
      <c r="E186" s="196"/>
      <c r="F186" s="196"/>
      <c r="G186" s="196"/>
      <c r="H186" s="283"/>
      <c r="I186" s="196"/>
      <c r="J186" s="196"/>
    </row>
    <row r="187" spans="2:10" ht="18">
      <c r="B187" s="281"/>
      <c r="C187" s="281"/>
      <c r="D187" s="282"/>
      <c r="E187" s="196"/>
      <c r="F187" s="196"/>
      <c r="G187" s="196"/>
      <c r="H187" s="283"/>
      <c r="I187" s="196"/>
      <c r="J187" s="196"/>
    </row>
    <row r="188" spans="2:10" ht="18">
      <c r="B188" s="281"/>
      <c r="C188" s="281"/>
      <c r="D188" s="282"/>
      <c r="E188" s="196"/>
      <c r="F188" s="196"/>
      <c r="G188" s="196"/>
      <c r="H188" s="283"/>
      <c r="I188" s="196"/>
      <c r="J188" s="196"/>
    </row>
    <row r="189" spans="2:10" ht="18">
      <c r="B189" s="281"/>
      <c r="C189" s="281"/>
      <c r="D189" s="282"/>
      <c r="E189" s="196"/>
      <c r="F189" s="196"/>
      <c r="G189" s="196"/>
      <c r="H189" s="283"/>
      <c r="I189" s="196"/>
      <c r="J189" s="196"/>
    </row>
    <row r="190" spans="2:10" ht="18">
      <c r="B190" s="281"/>
      <c r="C190" s="281"/>
      <c r="D190" s="282"/>
      <c r="E190" s="196"/>
      <c r="F190" s="196"/>
      <c r="G190" s="196"/>
      <c r="H190" s="283"/>
      <c r="I190" s="196"/>
      <c r="J190" s="196"/>
    </row>
    <row r="191" spans="2:10" ht="18">
      <c r="B191" s="281"/>
      <c r="C191" s="281"/>
      <c r="D191" s="282"/>
      <c r="E191" s="196"/>
      <c r="F191" s="196"/>
      <c r="G191" s="196"/>
      <c r="H191" s="283"/>
      <c r="I191" s="196"/>
      <c r="J191" s="196"/>
    </row>
    <row r="192" spans="2:10" ht="18">
      <c r="B192" s="281"/>
      <c r="C192" s="281"/>
      <c r="D192" s="282"/>
      <c r="E192" s="196"/>
      <c r="F192" s="196"/>
      <c r="G192" s="196"/>
      <c r="H192" s="283"/>
      <c r="I192" s="196"/>
      <c r="J192" s="196"/>
    </row>
    <row r="193" spans="2:10" ht="18">
      <c r="B193" s="281"/>
      <c r="C193" s="281"/>
      <c r="D193" s="282"/>
      <c r="E193" s="196"/>
      <c r="F193" s="196"/>
      <c r="G193" s="196"/>
      <c r="H193" s="283"/>
      <c r="I193" s="196"/>
      <c r="J193" s="196"/>
    </row>
    <row r="194" spans="2:10" ht="18">
      <c r="B194" s="281"/>
      <c r="C194" s="281"/>
      <c r="D194" s="282"/>
      <c r="E194" s="196"/>
      <c r="F194" s="196"/>
      <c r="G194" s="196"/>
      <c r="H194" s="283"/>
      <c r="I194" s="196"/>
      <c r="J194" s="196"/>
    </row>
    <row r="195" spans="2:10" ht="18">
      <c r="B195" s="281"/>
      <c r="C195" s="281"/>
      <c r="D195" s="282"/>
      <c r="E195" s="196"/>
      <c r="F195" s="196"/>
      <c r="G195" s="196"/>
      <c r="H195" s="283"/>
      <c r="I195" s="196"/>
      <c r="J195" s="196"/>
    </row>
    <row r="196" spans="2:10" ht="18">
      <c r="B196" s="281"/>
      <c r="C196" s="281"/>
      <c r="D196" s="282"/>
      <c r="E196" s="196"/>
      <c r="F196" s="196"/>
      <c r="G196" s="196"/>
      <c r="H196" s="283"/>
      <c r="I196" s="196"/>
      <c r="J196" s="196"/>
    </row>
    <row r="197" spans="2:10" ht="18">
      <c r="B197" s="281"/>
      <c r="C197" s="281"/>
      <c r="D197" s="282"/>
      <c r="E197" s="196"/>
      <c r="F197" s="196"/>
      <c r="G197" s="196"/>
      <c r="H197" s="283"/>
      <c r="I197" s="196"/>
      <c r="J197" s="196"/>
    </row>
    <row r="198" spans="2:10" ht="18">
      <c r="B198" s="281"/>
      <c r="C198" s="281"/>
      <c r="D198" s="282"/>
      <c r="E198" s="196"/>
      <c r="F198" s="196"/>
      <c r="G198" s="196"/>
      <c r="H198" s="283"/>
      <c r="I198" s="196"/>
      <c r="J198" s="196"/>
    </row>
    <row r="199" spans="2:10" ht="18">
      <c r="B199" s="281"/>
      <c r="C199" s="281"/>
      <c r="D199" s="282"/>
      <c r="E199" s="196"/>
      <c r="F199" s="196"/>
      <c r="G199" s="196"/>
      <c r="H199" s="283"/>
      <c r="I199" s="196"/>
      <c r="J199" s="196"/>
    </row>
    <row r="200" spans="2:10" ht="18">
      <c r="B200" s="281"/>
      <c r="C200" s="281"/>
      <c r="D200" s="282"/>
      <c r="E200" s="196"/>
      <c r="F200" s="196"/>
      <c r="G200" s="196"/>
      <c r="H200" s="283"/>
      <c r="I200" s="196"/>
      <c r="J200" s="196"/>
    </row>
  </sheetData>
  <sheetProtection/>
  <mergeCells count="19">
    <mergeCell ref="I11:J11"/>
    <mergeCell ref="B105:J105"/>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42"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2023-08-02T13:33:01Z</cp:lastPrinted>
  <dcterms:created xsi:type="dcterms:W3CDTF">2010-12-30T07:19:15Z</dcterms:created>
  <dcterms:modified xsi:type="dcterms:W3CDTF">2023-08-08T05:08:27Z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