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92" windowWidth="15576" windowHeight="10140" tabRatio="685" activeTab="2"/>
  </bookViews>
  <sheets>
    <sheet name="додаток1" sheetId="1" r:id="rId1"/>
    <sheet name="Додаток 2" sheetId="2" r:id="rId2"/>
    <sheet name="Додаток 3" sheetId="3" r:id="rId3"/>
    <sheet name="Додаток7" sheetId="4" r:id="rId4"/>
  </sheets>
  <definedNames>
    <definedName name="_xlnm.Print_Area" localSheetId="1">'Додаток 2'!$A$1:$F$37</definedName>
    <definedName name="_xlnm.Print_Area" localSheetId="2">'Додаток 3'!$A$1:$P$119</definedName>
    <definedName name="_xlnm.Print_Area" localSheetId="0">'додаток1'!$A$1:$F$132</definedName>
    <definedName name="_xlnm.Print_Titles" localSheetId="1">'Додаток 2'!$7:$11</definedName>
    <definedName name="_xlnm.Print_Titles" localSheetId="2">'Додаток 3'!$11:$15</definedName>
    <definedName name="_xlnm.Print_Titles" localSheetId="0">'додаток1'!$11:$14</definedName>
    <definedName name="_xlnm.Print_Titles" localSheetId="3">'Додаток7'!$11:$13</definedName>
    <definedName name="_xlnm.Print_Titles" localSheetId="2">'Додаток 3'!$11:$15</definedName>
    <definedName name="_xlnm.Print_Titles" localSheetId="0">'додаток1'!$11:$14</definedName>
    <definedName name="_xlnm.Print_Titles" localSheetId="3">'Додаток7'!$11:$13</definedName>
    <definedName name="_xlnm.Print_Area" localSheetId="2">'Додаток 3'!$A$1:$P$118</definedName>
    <definedName name="_xlnm.Print_Area" localSheetId="3">'Додаток7'!$A$1:$J$107</definedName>
  </definedNames>
  <calcPr fullCalcOnLoad="1"/>
</workbook>
</file>

<file path=xl/sharedStrings.xml><?xml version="1.0" encoding="utf-8"?>
<sst xmlns="http://schemas.openxmlformats.org/spreadsheetml/2006/main" count="778" uniqueCount="492">
  <si>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</si>
  <si>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</si>
  <si>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</si>
  <si>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</si>
  <si>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</si>
  <si>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</si>
  <si>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</si>
  <si>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</si>
  <si>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</si>
  <si>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</si>
  <si>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</si>
  <si>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</si>
  <si>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</si>
  <si>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5031</t>
  </si>
  <si>
    <t>0810</t>
  </si>
  <si>
    <t>Утримання та навчально-тренувальна робота комунальних дитячо-юнацьких спортивних шкіл</t>
  </si>
  <si>
    <t>1000000</t>
  </si>
  <si>
    <t>1010000</t>
  </si>
  <si>
    <t>1010160</t>
  </si>
  <si>
    <t>1011080</t>
  </si>
  <si>
    <t>1080</t>
  </si>
  <si>
    <t>1013131</t>
  </si>
  <si>
    <t>3131</t>
  </si>
  <si>
    <t>Здійснення заходів та реалізація проектів на виконання Державної цільової соціальної програми "Молодь України"</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</si>
  <si>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</si>
  <si>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</si>
  <si>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</si>
  <si>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</si>
  <si>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</si>
  <si>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</si>
  <si>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</si>
  <si>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</si>
  <si>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</si>
  <si>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</si>
  <si>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(в редакції рішення дев'ятнадцятої сесії Тетіївської міської ради від 11.04.2023 № 885-19-VIII)</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</si>
  <si>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</si>
  <si>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</si>
  <si>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</si>
  <si>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</si>
  <si>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</si>
  <si>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</si>
  <si>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</si>
  <si>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</si>
  <si>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1015011</t>
  </si>
  <si>
    <t>5011</t>
  </si>
  <si>
    <t>Проведення навчально-тренувальних зборів і змагань з олімпійських видів спорту</t>
  </si>
  <si>
    <t>1015012</t>
  </si>
  <si>
    <t>5012</t>
  </si>
  <si>
    <t>Проведення навчально-тренувальних зборів і змагань з неолімпійських видів спорту</t>
  </si>
  <si>
    <t>1015041</t>
  </si>
  <si>
    <t>5041</t>
  </si>
  <si>
    <t>Утримання та фінансова підтримка спортивних споруд</t>
  </si>
  <si>
    <t>3700000</t>
  </si>
  <si>
    <t>3710000</t>
  </si>
  <si>
    <t>3710160</t>
  </si>
  <si>
    <t>3718710</t>
  </si>
  <si>
    <t>8710</t>
  </si>
  <si>
    <t>Резервний фонд місцевого бюджету</t>
  </si>
  <si>
    <t>УСЬОГО</t>
  </si>
  <si>
    <t>у тому числі бюджет розвитку</t>
  </si>
  <si>
    <t>2</t>
  </si>
  <si>
    <t>Додаток № 7</t>
  </si>
  <si>
    <t>Найменування місцевої/регіональної програм</t>
  </si>
  <si>
    <t>Дата та номер документа, яким затверджено місцеву/регіональну програму</t>
  </si>
  <si>
    <t>усього</t>
  </si>
  <si>
    <t>Програма інформаційної політики та зв'язків з громадськістю на 2021-2025 роки</t>
  </si>
  <si>
    <t>Програма "Відзначення державних та професійних свят, ювілейних та святкових дат, здійснення представницьких та інших заходів Тетіївської міської територіальної громади" на 2021-2025 роки</t>
  </si>
  <si>
    <t>Програма підтримки сім'ї та забезпечення прав дітей "Щаслива родина-успішна країна" на 2020-2022 роки</t>
  </si>
  <si>
    <t>0601142</t>
  </si>
  <si>
    <t>Інші  програми та заходи у сфері освіти</t>
  </si>
  <si>
    <t>0217330</t>
  </si>
  <si>
    <t>7330</t>
  </si>
  <si>
    <t>0443</t>
  </si>
  <si>
    <t>Будівництво інших об'єктів комунальної власності</t>
  </si>
  <si>
    <t>Рішення сесії Тетіївської міської ради від 24.12.2020         № 34-02-VІІІ</t>
  </si>
  <si>
    <t>Програма збереження документів Трудового архіву, що не належить до Національного архівного фонду на 2021-2025 роки</t>
  </si>
  <si>
    <t>Рішення сесії Тетіївської міської ради від 19.11.2019         № 733-25-VІІ</t>
  </si>
  <si>
    <t>Програма "Власний дім" 2020-2025 роки</t>
  </si>
  <si>
    <t>Рішення сесії Тетіївської міської ради від 20.12.2019         № 764-26-VІІ</t>
  </si>
  <si>
    <t>Програма "Розвитку земельних відносин Тетіївської міської ради" на 2021-2025 роки</t>
  </si>
  <si>
    <t>Програма охорони навколишнього природного середовища населених пунктів Тетіївської міської ради на 2021-2025 роки</t>
  </si>
  <si>
    <t>Програма по розвитку благоустрою та інфраструктури Тетіївської територіальної громади на 2021 рік</t>
  </si>
  <si>
    <t>Податок на прибуток підприємств</t>
  </si>
  <si>
    <t>Податок на прибуток підприємств та фінансових установ комунальної власності</t>
  </si>
  <si>
    <t>Кошти від продажу земельних ділянок несільськогосподар- 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</si>
  <si>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Цільові фонди</t>
  </si>
  <si>
    <t>Цільові фонди, утворені Верховною Радою Автономної Республіки Крим, органами самоврядування та місцевими органами</t>
  </si>
  <si>
    <t>Субвенція з державного бюджету місцевим бюджетам на розвиток мережі центрів надання адміністративних послуг</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</si>
  <si>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</si>
  <si>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0100</t>
  </si>
  <si>
    <t>ДЕРЖАВНЕ УПРАВЛІННЯ</t>
  </si>
  <si>
    <t>0200</t>
  </si>
  <si>
    <t>Програма соціальної підтримки учасників операції об’єднаних сил, антитерористичної операції та членів сімей загиблих на 2021 – 2025 роки</t>
  </si>
  <si>
    <t>ОХОРОНА ЗДОРОВ`Я</t>
  </si>
  <si>
    <t>0212152</t>
  </si>
  <si>
    <t>Інші програми та заходи у сфері охорони здоров’я</t>
  </si>
  <si>
    <t>2152</t>
  </si>
  <si>
    <t>0300</t>
  </si>
  <si>
    <t>СОЦІАЛЬНИЙ ЗАХИСТ ТА СОЦІАЛЬНЕ ЗАБЕЗПЕЧЕННЯ</t>
  </si>
  <si>
    <t>3035</t>
  </si>
  <si>
    <t>Компенсаційні виплати за пільговий проїзд окремих категорій громадян на залізничному транспорті</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</si>
  <si>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</si>
  <si>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</si>
  <si>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</si>
  <si>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</si>
  <si>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</si>
  <si>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6000</t>
  </si>
  <si>
    <t>ЖИТЛОВО-КОМУНАЛЬНЕ ГОСПОДАРСТВО</t>
  </si>
  <si>
    <t>7000</t>
  </si>
  <si>
    <t>ЕКОНОМІЧНА ДІЯЛЬНІСТЬ</t>
  </si>
  <si>
    <t>0217363</t>
  </si>
  <si>
    <t>7363</t>
  </si>
  <si>
    <t>Виконання інвестиційних проектів в рамках здійснення заходів щодо соціально-економічного розвитку окремих територій</t>
  </si>
  <si>
    <t>0217650</t>
  </si>
  <si>
    <t>7650</t>
  </si>
  <si>
    <t>Проведення експертної грошової оцінки земельної ділянки чи права на неї</t>
  </si>
  <si>
    <t>8000</t>
  </si>
  <si>
    <t>ІНША ДІЯЛЬНІСТЬ</t>
  </si>
  <si>
    <t>0320</t>
  </si>
  <si>
    <t>Відділ освіти Тетіївської міської ради</t>
  </si>
  <si>
    <t>1000</t>
  </si>
  <si>
    <t>ОСВІТА</t>
  </si>
  <si>
    <t>0611181</t>
  </si>
  <si>
    <t>0611182</t>
  </si>
  <si>
    <t>1181</t>
  </si>
  <si>
    <t>1182</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</si>
  <si>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</si>
  <si>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</si>
  <si>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0611210</t>
  </si>
  <si>
    <t>1210</t>
  </si>
  <si>
    <t>5000</t>
  </si>
  <si>
    <t>ФІЗИЧНА КУЛЬТУРА І СПОРТ</t>
  </si>
  <si>
    <t>Відділ культури, молоді та спорту Тетіївської міської ради</t>
  </si>
  <si>
    <t>3000</t>
  </si>
  <si>
    <t>4000</t>
  </si>
  <si>
    <t>КУЛЬТУРА І МИСТЕЦТВО</t>
  </si>
  <si>
    <t>Управління фінансів Тетіївської міської ради</t>
  </si>
  <si>
    <t>9000</t>
  </si>
  <si>
    <t>МІЖБЮДЖЕТНІ ТРАНСФЕРТИ</t>
  </si>
  <si>
    <t>БАЛАНС</t>
  </si>
  <si>
    <t>0617363</t>
  </si>
  <si>
    <t>Програма соціального захисту жителів Тетіївської міської територіальної громади "Турбота" на 2021-2025 роки</t>
  </si>
  <si>
    <t>Програма "Фінансової підтримки комунальних підприємств Тетіївської громади" на 2021-2022 роки</t>
  </si>
  <si>
    <t>Рішення сесії Тетіївської міської ради від 24.12.2020 № 34-02-VIII</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</si>
  <si>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</si>
  <si>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0611061</t>
  </si>
  <si>
    <t>1061</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</si>
  <si>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</si>
  <si>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</si>
  <si>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</si>
  <si>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Субвенція з місцевого бюджету на співфінансування інвестиційних проектів</t>
  </si>
  <si>
    <t>3719750</t>
  </si>
  <si>
    <t>9750</t>
  </si>
  <si>
    <t>Програма підтримки заходів мобілізаційної підготовки на території Тетіївської міської територіальної громади у 2021-2025 роках</t>
  </si>
  <si>
    <t>Програма "Захисник Вітчизни на 2021-2025 роки"</t>
  </si>
  <si>
    <t>Рішення сесії Тетіївської міської ради від 23.02.2021 № 137-02-VIII</t>
  </si>
  <si>
    <t>Програма "Обдарована дитина" на 2021-2025 роки</t>
  </si>
  <si>
    <t>Програма  "Обдарована дитина" на 2021-2025 роки</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</si>
  <si>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</si>
  <si>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</si>
  <si>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</si>
  <si>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Надходження від скидів забруднюючих речовин безпосередньо у водні об`єкти</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</si>
  <si>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</si>
  <si>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0219800</t>
  </si>
  <si>
    <t>9800</t>
  </si>
  <si>
    <t>Субвенція з місцевого бюджету державному бюджету на виконання програм соціально-економічного розвитку регіонів</t>
  </si>
  <si>
    <t>0640</t>
  </si>
  <si>
    <t>0216071</t>
  </si>
  <si>
    <t>6071</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</si>
  <si>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</si>
  <si>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0216017</t>
  </si>
  <si>
    <t>6017</t>
  </si>
  <si>
    <t>Інша діяльність, пов'язана з експлуатацією об'єктів житлово-комунального господарства</t>
  </si>
  <si>
    <t>Рентна плата за спеціальне використання води</t>
  </si>
  <si>
    <t>Рентна плата за спеціальне використання води водних об'єктів місцевого значення</t>
  </si>
  <si>
    <t>Рентна плата за користування надрами загальнодержавного значення</t>
  </si>
  <si>
    <t>Рентна плата за користування надрами місцевого значення</t>
  </si>
  <si>
    <t xml:space="preserve">Рентна плата за користування надрами для видобування корисних копалин місцевого значення </t>
  </si>
  <si>
    <t>Частина чистого прибутку (доходу) державних або комінальних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</si>
  <si>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Частина чистого прибутку (доходу) державних або комінальних унітарних підприємств та їх обєднань, що вилучається до відповідного місцевого бюджету</t>
  </si>
  <si>
    <t>Державне мито, не віднесене до інших категорій</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</si>
  <si>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</si>
  <si>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Надання спеціалізованої освіти мистецькими школами</t>
  </si>
  <si>
    <t>3719770</t>
  </si>
  <si>
    <t>9770</t>
  </si>
  <si>
    <t>Інші субвенції з місцевого бюджету</t>
  </si>
  <si>
    <t>Програма розвитку та підтримки комунального підприємства "Комунальне некомерційне підприємство "Тетіївський центр первинної медико-санітарної допомоги" Тетіївської міської ради" на 2022 -2024 роки</t>
  </si>
  <si>
    <t>Рішення сесії Тетіївської міської ради від 02.12.2021         № 504-12-VІІІ</t>
  </si>
  <si>
    <t>Програма фінансової підтримки Комунального некомерційного підприємства "Тетіївська центральна лікарня" Тетіївської міської ради на 2022 - 2024 роки</t>
  </si>
  <si>
    <t>0817691</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</si>
  <si>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</si>
  <si>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Програма захисту населення і території  від надзвичайних ситуацій техногенного та природного характеру на 2023-2025 роки</t>
  </si>
  <si>
    <t xml:space="preserve">Рішення сесії Тетіївської міської ради від 23.03.2021 року № 168-04-VIII </t>
  </si>
  <si>
    <t>Рішення сесії Тетіївської міської ради від 28.02.2023         № 819-18-VІІІ</t>
  </si>
  <si>
    <t>Надання загальної середньої освіти закладами загальної середньої освіти за рахунок коштів місцевого бюджету</t>
  </si>
  <si>
    <t>Рішення сесії Тетіївської міської ради від 02.12.2021        № 505-12-VІІІ</t>
  </si>
  <si>
    <t>Програма надання одноразової допомоги дітям-сиротам і дітям, позбавленим батьківського піклування, яким у 2022-2024 роках виповнюється 18 років</t>
  </si>
  <si>
    <t>Рішення сесії Тетіївської міської ради від 02.12.2021         № 507-12-VІІІ</t>
  </si>
  <si>
    <t>Місцеві податки та збори, що сплачуються (перераховуються) згідно з Податковим кодексом України</t>
  </si>
  <si>
    <t>Міська Програма "Шкільний автобус"  на 2021 - 2025 роки</t>
  </si>
  <si>
    <t>Програма розвитку фізичної культури і спорту на території Тетіївської міської територіальної громади на 2022 - 2024 роки</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</si>
  <si>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</si>
  <si>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Рішення сесії Тетіївської міської ради від 24.12.2021  № 556-13-VІІІ</t>
  </si>
  <si>
    <t>Керівництво і управління у відповідній сфері у містах (місті Києві), селищах, селах, територіальних громадах</t>
  </si>
  <si>
    <t>0213112</t>
  </si>
  <si>
    <t>3112</t>
  </si>
  <si>
    <t>Заходи державної політики з питань дітей та їх соціального захисту</t>
  </si>
  <si>
    <t>Програма соціального захисту жителів Тетіївської міської територіальної громади «Турбота» на 2021-2025 роки</t>
  </si>
  <si>
    <t>0218240</t>
  </si>
  <si>
    <t>8240</t>
  </si>
  <si>
    <t>Заходи та роботи з територіальної оборони</t>
  </si>
  <si>
    <t>Інші дотації з місцевого бюджету</t>
  </si>
  <si>
    <t>0800000</t>
  </si>
  <si>
    <t>Управління соціального захисту населення Тетіївської міської ради</t>
  </si>
  <si>
    <t>0810000</t>
  </si>
  <si>
    <t>0810160</t>
  </si>
  <si>
    <t>0813035</t>
  </si>
  <si>
    <t>0813121</t>
  </si>
  <si>
    <t>0813160</t>
  </si>
  <si>
    <t>0813242</t>
  </si>
  <si>
    <t>Акцизний податок з реалізації суб’єктами господарювання роздрібної торгівлі підакцизних товарів</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</si>
  <si>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</si>
  <si>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</si>
  <si>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1015031</t>
  </si>
  <si>
    <t>8110</t>
  </si>
  <si>
    <t>Заходи із запобігання та ліквідації надзвичайних ситуацій та наслідків стихійного лиха</t>
  </si>
  <si>
    <t>0218110</t>
  </si>
  <si>
    <t>Кошти від відчуження майна, що належить Автономній Республіці Крим та майна, що перебуває в комунальній власності  </t>
  </si>
  <si>
    <t>Рішення сесії Тетіївської міської ради від 27.09.2022 № 720-16-VIII</t>
  </si>
  <si>
    <t>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</si>
  <si>
    <t>Рішення сесії Тетіївської міської ради від 23.02.2021 року № 138-03-VIII</t>
  </si>
  <si>
    <t>Секретар міської ради                                                                        Наталія  ІВАНЮТА</t>
  </si>
  <si>
    <t>Доходи бюджету Тетіївської міської територіальної громади на 2023 рік</t>
  </si>
  <si>
    <t>Розподіл видатків бюджету Тетіївської міської територіальної громади на 2023 рік</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</si>
  <si>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</si>
  <si>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</si>
  <si>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</si>
  <si>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</si>
  <si>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Фінансування  бюджету Тетіївської міської територіальної громади на 2023 рік</t>
  </si>
  <si>
    <t>Розподіл витрат бюджету Тетіївської міської територіальної громади на реалізацію місцевих/регіональних програм у 2023 році</t>
  </si>
  <si>
    <t xml:space="preserve">Транспортний податок з фізичних осіб </t>
  </si>
  <si>
    <t>Програма територіальної оборони Тетіївської міської територіальної громади на 2022-2024 роки</t>
  </si>
  <si>
    <t>0813090</t>
  </si>
  <si>
    <t>3090</t>
  </si>
  <si>
    <t>1030</t>
  </si>
  <si>
    <t>Видатки на поховання учасників бойових дій та осіб з інвалідністю внаслідок війни</t>
  </si>
  <si>
    <t>Програма "Поліцейський офіцер громади" на 2021-2025 роки</t>
  </si>
  <si>
    <t>Програма співробітництва з організаціями Всеукраїнської асоціації органів місцевого самоврядування та іншими організаціями на 2023-2025 роки</t>
  </si>
  <si>
    <t>Програма по забезпеченню культурного розвитку Тетіївської територіальної громади на 2023 - 2026 роки</t>
  </si>
  <si>
    <t>Програма підтримки та розвитку молоді Тетіївської міської територіальної громади на 2023-2026 роки "Молодь Тетіївщини"</t>
  </si>
  <si>
    <t>Програма розвитку благоустрою та інфраструктури Тетіївської міської територіальної громади на 2023-2027 роки</t>
  </si>
  <si>
    <t>Програма фінансової підтримки комунальних підприємств Тетіївської міської ради  на 2023-2027 роки</t>
  </si>
  <si>
    <t>Програма організації безоплатного поховання загиблих (померлих) військовослужбовців, учасників бойових дій внаслідок російської агресії та війни в Україні по Тетіївській міській територіальній громаді на 2023 рік</t>
  </si>
  <si>
    <t>Програма компенсації пільгових перевезень окремих категорій громадян на залізничному транспорті на 2023-2025 роки</t>
  </si>
  <si>
    <t>Програма підтримки сім'ї та забезпечення прав дітей на 2023-2025 роки</t>
  </si>
  <si>
    <t xml:space="preserve">Рішення сесії Тетіївської міської ради від 27.04.2021 року № 205-05-VIII </t>
  </si>
  <si>
    <t>"Про бюджет Тетіївської міської територіальної громади на 2023 рік" від 20.12.2022 № 772-17-VIII</t>
  </si>
  <si>
    <t>Рішення сесії Тетіївської міської ради від 20.12.2022 № 769-17-VIIІ</t>
  </si>
  <si>
    <t>Рішення сесії Тетіївської міської ради від 20.12.2022 № 766-17-VIIІ</t>
  </si>
  <si>
    <t>Рішення сесії Тетіївської міської ради від 20.12.2022 № 764-17-VIIІ</t>
  </si>
  <si>
    <t>Рішення сесії Тетіївської міської ради від 20.12.2022 № 763-17-VIIІ</t>
  </si>
  <si>
    <t>Рішення сесії Тетіївської міської ради від 20.12.2022 № 768-17-VIIІ</t>
  </si>
  <si>
    <t>Рішення сесії Тетіївської міської ради від 20.12.2022 № 767-17-VIIІ</t>
  </si>
  <si>
    <t>Рішення сесії Тетіївської міської ради від 20.12.2022 № 762-17-VIIІ</t>
  </si>
  <si>
    <t>Рішення сесії Тетіївської міської ради від 20.12.2022 № 761-17-VIIІ</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</si>
  <si>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рідини, що використовується в електронних сигаретах, та пального</t>
  </si>
  <si>
    <t>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</si>
  <si>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цільве призначення, виділених відповідно до рішень Кабінету Міністрів України у попередніх бюджетних періодах, а також коштів, необхідних для забезпечення навчального процесу у закладах загальної середньої освіти</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</si>
  <si>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</si>
  <si>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до рішення сімнадцятої сесії Тетіївської міської ради</t>
  </si>
  <si>
    <t>0218220</t>
  </si>
  <si>
    <t>8220</t>
  </si>
  <si>
    <t>Заходи та роботи з мобілізаційної підготовки місцевого значення</t>
  </si>
  <si>
    <t>Програма підтримки заходів мобілізаційної підготовки на території Тетіївської міської територіальної громади у 2021 - 2025 роках</t>
  </si>
  <si>
    <t>Рішення сесії Тетіївської міської ради від 23.02.2021  № 137-03-VIII</t>
  </si>
  <si>
    <t>Програма поводження з безпритульними тваринами на території населених пунктів Тетіївської міської ради на 2023-2027 роки</t>
  </si>
  <si>
    <t xml:space="preserve">Кошти від викупу земельних ділянок сільськогосподар-ського призначення державної та комунальної власності, передбачених пунктом 6(1) розділу Х «Перехідні положення» Земельного кодексу України </t>
  </si>
  <si>
    <t>Рішення сесії Тетіївської міської ради  від 20.12.2022 № 765-17-VІII</t>
  </si>
  <si>
    <t>Програма поліпшення матеріального забезпечення дітей-сиріт і дітей, позбавлених батьківського піклування Тетіївської міської територіальної громади на 2022 – 2024 роки</t>
  </si>
  <si>
    <t>Рішення сесії Тетіївської міської ради від 24.12.2021         № 555-13-VІІІ</t>
  </si>
  <si>
    <t>Додаток 1</t>
  </si>
  <si>
    <t>(код бюджету)</t>
  </si>
  <si>
    <t>(грн)</t>
  </si>
  <si>
    <t>Код</t>
  </si>
  <si>
    <t>Найменування згідно з Класифікацією доходів бюджету</t>
  </si>
  <si>
    <t>Усього</t>
  </si>
  <si>
    <t>Загальний фонд</t>
  </si>
  <si>
    <t>Спеціальний фонд</t>
  </si>
  <si>
    <t>Всього</t>
  </si>
  <si>
    <t>у т.ч. бюджет розвитку</t>
  </si>
  <si>
    <t>Податкові надходження</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</si>
  <si>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</si>
  <si>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</si>
  <si>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</si>
  <si>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</si>
  <si>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</si>
  <si>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</si>
  <si>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Рентна плата та плата за використання інших природних ресурсів </t>
  </si>
  <si>
    <t xml:space="preserve">Рентна плата за спеціальне використання лісових ресурсів </t>
  </si>
  <si>
    <t xml:space="preserve">Рентна плата за спеціальне використання лісових ресурсів в частині деревини, заготовленої в порядку рубок головного користування </t>
  </si>
  <si>
    <t xml:space="preserve">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</si>
  <si>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 xml:space="preserve">Рентна плата за користування надрами для видобування корисних копалин загальнодержавного значення </t>
  </si>
  <si>
    <t xml:space="preserve">Внутрішні податки на товари та послуги  </t>
  </si>
  <si>
    <t xml:space="preserve">Акцизний податок з вироблених в Україні підакцизних товарів (продукції) </t>
  </si>
  <si>
    <t>Пальне</t>
  </si>
  <si>
    <t xml:space="preserve">Акцизний податок з ввезених на митну територію України підакцизних товарів (продукції) </t>
  </si>
  <si>
    <t xml:space="preserve">Податок на майно </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</si>
  <si>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</si>
  <si>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</si>
  <si>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</si>
  <si>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</si>
  <si>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 xml:space="preserve">Земельний податок з юридичних осіб </t>
  </si>
  <si>
    <t xml:space="preserve">Орендна плата з юридичних осіб </t>
  </si>
  <si>
    <t xml:space="preserve">Земельний податок з фізичних осіб </t>
  </si>
  <si>
    <t xml:space="preserve">Орендна плата з фізичних осіб </t>
  </si>
  <si>
    <t xml:space="preserve">Транспортний податок з юридичних осіб </t>
  </si>
  <si>
    <t xml:space="preserve">Туристичний збір </t>
  </si>
  <si>
    <t xml:space="preserve">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</si>
  <si>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</si>
  <si>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</si>
  <si>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</si>
  <si>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 xml:space="preserve">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</si>
  <si>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 xml:space="preserve">Інші податки та збори </t>
  </si>
  <si>
    <t xml:space="preserve">Екологічний податок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</si>
  <si>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</si>
  <si>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</si>
  <si>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t>
  </si>
  <si>
    <t xml:space="preserve">Доходи від власності та підприємницької діяльності  </t>
  </si>
  <si>
    <t xml:space="preserve">Інші надходження  </t>
  </si>
  <si>
    <t xml:space="preserve">Адміністративні штрафи та інші санкції </t>
  </si>
  <si>
    <t>Адміністративні збори та платежі, доходи від некомерційної господарської діяльності</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</si>
  <si>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</si>
  <si>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</si>
  <si>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</si>
  <si>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 </t>
  </si>
  <si>
    <t xml:space="preserve">Державне мито  </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</si>
  <si>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</si>
  <si>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</si>
  <si>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</si>
  <si>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Інші неподаткові надходження</t>
  </si>
  <si>
    <t>Інші надходження</t>
  </si>
  <si>
    <t>Власні надходження бюджетних установ</t>
  </si>
  <si>
    <t xml:space="preserve">Надходження від плати за послуги, що надаються бюджетними установами згідно із законодавством </t>
  </si>
  <si>
    <t xml:space="preserve">Плата за послуги, що надаються бюджетними установами згідно з їх основною діяльністю </t>
  </si>
  <si>
    <t>Плата за оренду майна бюджетних установ, що здійснюються відповідно до Закону України "Про оренду державного та комунального майна"</t>
  </si>
  <si>
    <t>Доходи від операцій з капіталом</t>
  </si>
  <si>
    <t>Надходження від продажу основного капіталу</t>
  </si>
  <si>
    <t xml:space="preserve">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</si>
  <si>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 xml:space="preserve">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</si>
  <si>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від продажу землі і нематеріальних активів</t>
  </si>
  <si>
    <t xml:space="preserve">Кошти від продажу землі </t>
  </si>
  <si>
    <t>Усього доходів (без урахування міжбюджетних трансфертів)</t>
  </si>
  <si>
    <t>Офіційні трансферти</t>
  </si>
  <si>
    <t>Від органів державного управління</t>
  </si>
  <si>
    <t>Дотації з державного бюджету місцевим бюджетам</t>
  </si>
  <si>
    <t>Базова дотація</t>
  </si>
  <si>
    <t>Субвенції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</si>
  <si>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</si>
  <si>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</si>
  <si>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</si>
  <si>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</si>
  <si>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</si>
  <si>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</si>
  <si>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за рахунок залишку коштів освітньої субвенції, що утворилася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</si>
  <si>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</si>
  <si>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</si>
  <si>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</si>
  <si>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 xml:space="preserve">Інші субвенції з місцевого бюджету </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</si>
  <si>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</si>
  <si>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</si>
  <si>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місцевого бюджету на реалізацію проектів з реконструкції, капітального ремонту приймальних відділень в опорних закладах охорони здоров'я у госпітальних округах за рахунок відповідної субвенції з державного бюджету</t>
  </si>
  <si>
    <t>Субвенція з місцевого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за рахунок відповідної субвенції з державного бюджету</t>
  </si>
  <si>
    <t>Х</t>
  </si>
  <si>
    <t>РАЗОМ ДОХОДІВ</t>
  </si>
  <si>
    <t>Додаток № 2</t>
  </si>
  <si>
    <t>Найменування                                                              згідно з Класифікацією фінансування бюджету</t>
  </si>
  <si>
    <t>разом</t>
  </si>
  <si>
    <t>у т. ч. бюджет розвитку</t>
  </si>
  <si>
    <t>Фінансування за типом кредитора</t>
  </si>
  <si>
    <t>Внутрішнє фінансування</t>
  </si>
  <si>
    <t>Інше внутрішнє фінансування</t>
  </si>
  <si>
    <t xml:space="preserve">Фінансування за рахунок коштів єдиного казначейського рахунку </t>
  </si>
  <si>
    <t>Одержано</t>
  </si>
  <si>
    <t>Повернено</t>
  </si>
  <si>
    <t xml:space="preserve">Фінансування за рахунок залишків коштів на рахунках бюджетних установ </t>
  </si>
  <si>
    <t>На початок періоду</t>
  </si>
  <si>
    <t>На кінець періоду</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</si>
  <si>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</si>
  <si>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</si>
  <si>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Загальне фінансування</t>
  </si>
  <si>
    <r>
      <t>Фінансування за типом боргового зобов</t>
    </r>
    <r>
      <rPr>
        <b/>
        <sz val="12"/>
        <rFont val="Arial Cyr"/>
        <family val="2"/>
      </rPr>
      <t>’</t>
    </r>
    <r>
      <rPr>
        <b/>
        <sz val="12"/>
        <rFont val="Times New Roman"/>
        <family val="1"/>
      </rPr>
      <t>язання</t>
    </r>
  </si>
  <si>
    <t>Фінансування за активними операціями</t>
  </si>
  <si>
    <t>Зміни обсягів готівкових коштів</t>
  </si>
  <si>
    <t>Фінансування за рахунок коштів єдиного казначейського рахунку</t>
  </si>
  <si>
    <t>Додаток 3</t>
  </si>
  <si>
    <t>Код Програмної класифікації видатківта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</si>
  <si>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</si>
  <si>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</si>
  <si>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місцнвого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</si>
  <si>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Спеціального фонду</t>
  </si>
  <si>
    <t>РАЗОМ</t>
  </si>
  <si>
    <t>видатки споживання</t>
  </si>
  <si>
    <t>з них:</t>
  </si>
  <si>
    <t>видатки розвитку</t>
  </si>
  <si>
    <t>в тому числі бюджет розвитку</t>
  </si>
  <si>
    <t>оплата праці</t>
  </si>
  <si>
    <t>комунальні послуги та енергоносії</t>
  </si>
  <si>
    <t>3</t>
  </si>
  <si>
    <t>0200000</t>
  </si>
  <si>
    <t>Виконавчий комітет Тетіївської міської ради</t>
  </si>
  <si>
    <t>0210000</t>
  </si>
  <si>
    <t>0210150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</si>
  <si>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</si>
  <si>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</si>
  <si>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</si>
  <si>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0210180</t>
  </si>
  <si>
    <t>0180</t>
  </si>
  <si>
    <t>0133</t>
  </si>
  <si>
    <t>Інша діяльність у сфері державного управління</t>
  </si>
  <si>
    <t>0212010</t>
  </si>
  <si>
    <t>2010</t>
  </si>
  <si>
    <t>0731</t>
  </si>
  <si>
    <t xml:space="preserve">Багатопрофільна стаціонарна медична допомога населенню </t>
  </si>
  <si>
    <t>0212111</t>
  </si>
  <si>
    <t>2111</t>
  </si>
  <si>
    <t>0726</t>
  </si>
  <si>
    <t>Первинна медична допомога населенню, що надається центрами первинної медичної (медико-санітарної) допомоги</t>
  </si>
  <si>
    <t>0763</t>
  </si>
  <si>
    <t>1070</t>
  </si>
  <si>
    <t>3121</t>
  </si>
  <si>
    <t>1040</t>
  </si>
  <si>
    <t xml:space="preserve">Утримання та забезпечення діяльності центрів соціальних служб </t>
  </si>
  <si>
    <t>1090</t>
  </si>
  <si>
    <t>0213242</t>
  </si>
  <si>
    <t>3242</t>
  </si>
  <si>
    <t>Інші заходи у сфері соціального захисту і соціального забезпечення</t>
  </si>
  <si>
    <t>0216013</t>
  </si>
  <si>
    <t>6013</t>
  </si>
  <si>
    <t>0620</t>
  </si>
  <si>
    <t>Забезпечення діяльності водопровідно-каналізаційного господарства</t>
  </si>
  <si>
    <t>0216030</t>
  </si>
  <si>
    <t>6030</t>
  </si>
  <si>
    <t>Організація благоустрою населених пунктів</t>
  </si>
  <si>
    <t>0216082</t>
  </si>
  <si>
    <t>6082</t>
  </si>
  <si>
    <t>0610</t>
  </si>
  <si>
    <t>Придбання житла для окремих категорій населення відповідно до законодавства</t>
  </si>
  <si>
    <t>0217130</t>
  </si>
  <si>
    <t>7130</t>
  </si>
  <si>
    <t>0421</t>
  </si>
  <si>
    <t>Здійснення заходів із землеустрою</t>
  </si>
  <si>
    <t>0217461</t>
  </si>
  <si>
    <t>7461</t>
  </si>
  <si>
    <t>0456</t>
  </si>
  <si>
    <t>Утримання та розвиток автомобільних доріг та дорожньої інфраструктури за рахунок коштів місцевого бюджету</t>
  </si>
  <si>
    <t>0217470</t>
  </si>
  <si>
    <t>7470</t>
  </si>
  <si>
    <t>Інша діяльність у сфері дорожнього господарства</t>
  </si>
  <si>
    <t>0217680</t>
  </si>
  <si>
    <t>7680</t>
  </si>
  <si>
    <t>0490</t>
  </si>
  <si>
    <t>Членські внески до асоціацій органів місцевого самоврядування</t>
  </si>
  <si>
    <t>0217693</t>
  </si>
  <si>
    <t>7693</t>
  </si>
  <si>
    <t>Інші заходи, пов'язані з економічною діяльністю</t>
  </si>
  <si>
    <t>0380</t>
  </si>
  <si>
    <t>0218340</t>
  </si>
  <si>
    <t>8340</t>
  </si>
  <si>
    <t>0540</t>
  </si>
  <si>
    <t>Природоохоронні заходи за рахунок цільових фондів</t>
  </si>
  <si>
    <t>0600000</t>
  </si>
  <si>
    <t>0610000</t>
  </si>
  <si>
    <t>0610160</t>
  </si>
  <si>
    <t>0160</t>
  </si>
  <si>
    <t>0611010</t>
  </si>
  <si>
    <t>1010</t>
  </si>
  <si>
    <t>0910</t>
  </si>
  <si>
    <t>Надання дошкільної освіти</t>
  </si>
  <si>
    <t>0611021</t>
  </si>
  <si>
    <t>1021</t>
  </si>
  <si>
    <t>0921</t>
  </si>
  <si>
    <t>0611031</t>
  </si>
  <si>
    <t>1031</t>
  </si>
  <si>
    <t>0611070</t>
  </si>
  <si>
    <t>0960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</si>
  <si>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</si>
  <si>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</si>
  <si>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</si>
  <si>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</si>
  <si>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</si>
  <si>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</si>
  <si>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1142</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</si>
</sst>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0\)"/>
    <numFmt numFmtId="189" formatCode="\$#,##0_);[Red]\(\$#,##0\)"/>
    <numFmt numFmtId="190" formatCode="\$#,##0.00_);\(\$#,##0.00\)"/>
    <numFmt numFmtId="191" formatCode="\$#,##0.00_);[Red]\(\$#,##0.00\)"/>
    <numFmt numFmtId="192" formatCode="_-* #,##0\ &quot;грн.&quot;_-;\-* #,##0\ &quot;грн.&quot;_-;_-* &quot;-&quot;\ &quot;грн.&quot;_-;_-@_-"/>
    <numFmt numFmtId="193" formatCode="_-* #,##0.00\ _г_р_н_._-;\-* #,##0.00\ _г_р_н_._-;_-* &quot;-&quot;??\ _г_р_н_._-;_-@_-"/>
    <numFmt numFmtId="194" formatCode="_-* #,##0.00\ &quot;грн.&quot;_-;\-* #,##0.00\ &quot;грн.&quot;_-;_-* &quot;-&quot;??\ &quot;грн.&quot;_-;_-@_-"/>
    <numFmt numFmtId="195" formatCode="_-* #,##0\ _г_р_н_._-;\-* #,##0\ _г_р_н_._-;_-* &quot;-&quot;\ _г_р_н_._-;_-@_-"/>
    <numFmt numFmtId="196" formatCode="0.0"/>
    <numFmt numFmtId="197" formatCode="#,##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s>
  <fonts count="48">
    <font>
      <sz val="10"/>
      <name val="Arial Cyr"/>
      <family val="2"/>
    </font>
    <font>
      <sz val="10"/>
      <color indexed="8"/>
      <name val="Calibri"/>
      <family val="2"/>
    </font>
    <font>
      <b/>
      <i/>
      <sz val="14"/>
      <name val="Times New Roman"/>
      <family val="1"/>
    </font>
    <font>
      <sz val="11"/>
      <name val="Times New Roman"/>
      <family val="1"/>
    </font>
    <font>
      <sz val="12"/>
      <name val="Times New Roman"/>
      <family val="1"/>
    </font>
    <font>
      <b/>
      <sz val="14"/>
      <name val="Times New Roman"/>
      <family val="1"/>
    </font>
    <font>
      <b/>
      <sz val="12"/>
      <name val="Times New Roman"/>
      <family val="1"/>
    </font>
    <font>
      <sz val="14"/>
      <name val="Times New Roman"/>
      <family val="1"/>
    </font>
    <font>
      <b/>
      <sz val="13"/>
      <name val="Times New Roman"/>
      <family val="1"/>
    </font>
    <font>
      <sz val="10"/>
      <name val="Times New Roman"/>
      <family val="1"/>
    </font>
    <font>
      <b/>
      <sz val="16"/>
      <name val="Times New Roman"/>
      <family val="1"/>
    </font>
    <font>
      <b/>
      <i/>
      <sz val="12"/>
      <name val="Times New Roman"/>
      <family val="1"/>
    </font>
    <font>
      <b/>
      <sz val="14"/>
      <name val="Arial Cyr"/>
      <family val="2"/>
    </font>
    <font>
      <sz val="13"/>
      <name val="Times New Roman"/>
      <family val="1"/>
    </font>
    <font>
      <sz val="16"/>
      <name val="Times New Roman"/>
      <family val="1"/>
    </font>
    <font>
      <b/>
      <sz val="18"/>
      <name val="Times New Roman"/>
      <family val="1"/>
    </font>
    <font>
      <sz val="14"/>
      <color indexed="8"/>
      <name val="Times New Roman"/>
      <family val="1"/>
    </font>
    <font>
      <b/>
      <sz val="11"/>
      <name val="Times New Roman"/>
      <family val="1"/>
    </font>
    <font>
      <b/>
      <sz val="10"/>
      <name val="Times New Roman"/>
      <family val="1"/>
    </font>
    <font>
      <sz val="9"/>
      <name val="Times New Roman"/>
      <family val="1"/>
    </font>
    <font>
      <sz val="16"/>
      <color indexed="10"/>
      <name val="Times New Roman"/>
      <family val="1"/>
    </font>
    <font>
      <sz val="18"/>
      <name val="Times New Roman"/>
      <family val="1"/>
    </font>
    <font>
      <b/>
      <sz val="16"/>
      <color indexed="10"/>
      <name val="Times New Roman"/>
      <family val="1"/>
    </font>
    <font>
      <u val="single"/>
      <sz val="10"/>
      <color indexed="20"/>
      <name val="Arial Cyr"/>
      <family val="2"/>
    </font>
    <font>
      <u val="single"/>
      <sz val="10"/>
      <color indexed="12"/>
      <name val="Arial Cyr"/>
      <family val="2"/>
    </font>
    <font>
      <sz val="10"/>
      <color indexed="8"/>
      <name val="Arial"/>
      <family val="2"/>
    </font>
    <font>
      <b/>
      <sz val="12"/>
      <name val="Arial Cyr"/>
      <family val="2"/>
    </font>
    <font>
      <b/>
      <sz val="14"/>
      <color indexed="8"/>
      <name val="Times New Roman"/>
      <family val="1"/>
    </font>
    <font>
      <b/>
      <sz val="13"/>
      <name val="Arial Cyr"/>
      <family val="2"/>
    </font>
    <font>
      <b/>
      <sz val="20"/>
      <name val="Times New Roman"/>
      <family val="1"/>
    </font>
    <font>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2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5" fillId="0" borderId="0">
      <alignment vertical="top"/>
      <protection/>
    </xf>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23" fillId="0" borderId="0" applyNumberFormat="0" applyFill="0" applyBorder="0" applyAlignment="0" applyProtection="0"/>
    <xf numFmtId="0" fontId="43" fillId="3" borderId="0" applyNumberFormat="0" applyBorder="0" applyAlignment="0" applyProtection="0"/>
    <xf numFmtId="0" fontId="4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47" fillId="4" borderId="0" applyNumberFormat="0" applyBorder="0" applyAlignment="0" applyProtection="0"/>
  </cellStyleXfs>
  <cellXfs count="273">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center"/>
    </xf>
    <xf numFmtId="0" fontId="7" fillId="0" borderId="0" xfId="0" applyFont="1" applyAlignment="1">
      <alignment horizontal="center"/>
    </xf>
    <xf numFmtId="0" fontId="9" fillId="0" borderId="0" xfId="0" applyFont="1" applyAlignment="1">
      <alignment/>
    </xf>
    <xf numFmtId="49" fontId="7" fillId="0" borderId="10" xfId="0" applyNumberFormat="1" applyFont="1" applyFill="1" applyBorder="1" applyAlignment="1">
      <alignment horizontal="center" vertical="center"/>
    </xf>
    <xf numFmtId="0" fontId="4" fillId="0" borderId="0" xfId="0" applyFont="1" applyBorder="1" applyAlignment="1">
      <alignment horizontal="right"/>
    </xf>
    <xf numFmtId="0" fontId="9" fillId="0" borderId="0" xfId="0" applyFont="1" applyAlignment="1">
      <alignment horizontal="center"/>
    </xf>
    <xf numFmtId="0" fontId="11" fillId="0" borderId="0" xfId="0" applyFont="1" applyAlignment="1">
      <alignment/>
    </xf>
    <xf numFmtId="0" fontId="4" fillId="0" borderId="0" xfId="0" applyFont="1" applyBorder="1" applyAlignment="1">
      <alignment/>
    </xf>
    <xf numFmtId="0" fontId="3" fillId="0" borderId="0" xfId="0" applyFont="1" applyBorder="1" applyAlignment="1">
      <alignment/>
    </xf>
    <xf numFmtId="0" fontId="3" fillId="0" borderId="0" xfId="0" applyFont="1" applyBorder="1" applyAlignment="1">
      <alignment vertical="center"/>
    </xf>
    <xf numFmtId="1" fontId="17" fillId="0" borderId="0" xfId="0" applyNumberFormat="1" applyFont="1" applyBorder="1" applyAlignment="1">
      <alignment horizontal="center"/>
    </xf>
    <xf numFmtId="1" fontId="6" fillId="0" borderId="0" xfId="0" applyNumberFormat="1" applyFont="1" applyBorder="1" applyAlignment="1">
      <alignment horizontal="center"/>
    </xf>
    <xf numFmtId="0" fontId="3" fillId="0" borderId="0" xfId="0"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horizontal="center" wrapText="1"/>
    </xf>
    <xf numFmtId="0" fontId="4" fillId="0" borderId="11" xfId="0" applyFont="1" applyBorder="1" applyAlignment="1">
      <alignment horizontal="center" shrinkToFit="1"/>
    </xf>
    <xf numFmtId="0" fontId="5" fillId="0" borderId="0" xfId="0" applyFont="1" applyAlignment="1">
      <alignment wrapText="1"/>
    </xf>
    <xf numFmtId="0" fontId="4" fillId="0" borderId="0" xfId="0" applyFont="1" applyBorder="1" applyAlignment="1">
      <alignment horizontal="center"/>
    </xf>
    <xf numFmtId="0" fontId="3" fillId="0" borderId="10" xfId="0" applyFont="1" applyBorder="1" applyAlignment="1">
      <alignment horizontal="center" vertical="center" wrapText="1"/>
    </xf>
    <xf numFmtId="1" fontId="17" fillId="0" borderId="10" xfId="0" applyNumberFormat="1" applyFont="1" applyBorder="1" applyAlignment="1">
      <alignment horizontal="center"/>
    </xf>
    <xf numFmtId="0" fontId="6" fillId="0" borderId="10" xfId="0" applyFont="1" applyBorder="1" applyAlignment="1">
      <alignment horizontal="center" vertical="center"/>
    </xf>
    <xf numFmtId="4" fontId="6" fillId="0" borderId="10" xfId="0" applyNumberFormat="1" applyFont="1" applyBorder="1" applyAlignment="1">
      <alignment vertical="center"/>
    </xf>
    <xf numFmtId="4" fontId="4" fillId="0" borderId="10" xfId="0" applyNumberFormat="1" applyFont="1" applyBorder="1" applyAlignment="1">
      <alignment vertical="center"/>
    </xf>
    <xf numFmtId="0" fontId="4" fillId="0" borderId="10" xfId="0" applyFont="1" applyFill="1" applyBorder="1" applyAlignment="1">
      <alignment horizontal="center" vertical="center"/>
    </xf>
    <xf numFmtId="0" fontId="18" fillId="0" borderId="0" xfId="0" applyFont="1" applyAlignment="1">
      <alignment/>
    </xf>
    <xf numFmtId="0" fontId="5" fillId="0" borderId="0" xfId="0" applyFont="1" applyFill="1" applyAlignment="1">
      <alignment/>
    </xf>
    <xf numFmtId="0" fontId="9" fillId="24" borderId="0" xfId="0" applyFont="1" applyFill="1" applyAlignment="1">
      <alignment/>
    </xf>
    <xf numFmtId="0" fontId="4" fillId="0" borderId="0" xfId="0" applyFont="1" applyAlignment="1">
      <alignment wrapText="1"/>
    </xf>
    <xf numFmtId="0" fontId="9" fillId="0" borderId="0" xfId="0" applyFont="1" applyAlignment="1">
      <alignment wrapText="1"/>
    </xf>
    <xf numFmtId="0" fontId="19" fillId="0" borderId="0" xfId="0" applyFont="1" applyAlignment="1">
      <alignment/>
    </xf>
    <xf numFmtId="0" fontId="13" fillId="0" borderId="0" xfId="0" applyFont="1" applyAlignment="1">
      <alignment/>
    </xf>
    <xf numFmtId="49" fontId="17" fillId="0" borderId="0" xfId="0" applyNumberFormat="1" applyFont="1" applyAlignment="1">
      <alignment horizontal="center"/>
    </xf>
    <xf numFmtId="49" fontId="3" fillId="0" borderId="0" xfId="0" applyNumberFormat="1" applyFont="1" applyAlignment="1">
      <alignment horizontal="center"/>
    </xf>
    <xf numFmtId="4" fontId="7" fillId="0" borderId="10" xfId="0" applyNumberFormat="1" applyFont="1" applyFill="1" applyBorder="1" applyAlignment="1">
      <alignment vertical="center" shrinkToFit="1"/>
    </xf>
    <xf numFmtId="0" fontId="7" fillId="0" borderId="10" xfId="0" applyFont="1" applyFill="1" applyBorder="1" applyAlignment="1">
      <alignment horizontal="left" vertical="center" wrapText="1"/>
    </xf>
    <xf numFmtId="0" fontId="13" fillId="0" borderId="0" xfId="0" applyFont="1" applyAlignment="1">
      <alignment/>
    </xf>
    <xf numFmtId="196" fontId="3" fillId="0" borderId="10" xfId="0" applyNumberFormat="1" applyFont="1" applyBorder="1" applyAlignment="1">
      <alignment horizontal="center" vertical="center" wrapText="1"/>
    </xf>
    <xf numFmtId="0" fontId="6" fillId="0" borderId="10" xfId="0" applyFont="1" applyBorder="1" applyAlignment="1">
      <alignment vertical="center" wrapText="1"/>
    </xf>
    <xf numFmtId="0" fontId="4" fillId="0" borderId="10" xfId="0" applyFont="1" applyBorder="1" applyAlignment="1">
      <alignment vertical="center" wrapText="1"/>
    </xf>
    <xf numFmtId="4" fontId="4" fillId="0" borderId="10" xfId="0" applyNumberFormat="1" applyFont="1" applyFill="1" applyBorder="1" applyAlignment="1">
      <alignment vertical="center"/>
    </xf>
    <xf numFmtId="0" fontId="17" fillId="0" borderId="0" xfId="0" applyFont="1" applyAlignment="1">
      <alignment/>
    </xf>
    <xf numFmtId="0" fontId="3" fillId="0" borderId="0" xfId="0" applyFont="1" applyAlignment="1">
      <alignment horizontal="center" vertical="center" wrapText="1"/>
    </xf>
    <xf numFmtId="0" fontId="17" fillId="0" borderId="10" xfId="0" applyFont="1" applyBorder="1" applyAlignment="1">
      <alignment horizontal="center" vertical="center" wrapText="1"/>
    </xf>
    <xf numFmtId="0" fontId="17" fillId="25" borderId="10" xfId="0" applyFont="1" applyFill="1" applyBorder="1" applyAlignment="1">
      <alignment horizontal="center" vertical="center" wrapText="1"/>
    </xf>
    <xf numFmtId="0" fontId="17" fillId="0" borderId="0" xfId="0" applyFont="1" applyAlignment="1">
      <alignment horizontal="center" vertical="center" wrapText="1"/>
    </xf>
    <xf numFmtId="4" fontId="6" fillId="25" borderId="10" xfId="0" applyNumberFormat="1" applyFont="1" applyFill="1" applyBorder="1" applyAlignment="1">
      <alignment vertical="center" wrapText="1"/>
    </xf>
    <xf numFmtId="0" fontId="4" fillId="0" borderId="10" xfId="0" applyFont="1" applyBorder="1" applyAlignment="1">
      <alignment horizontal="center" vertical="center"/>
    </xf>
    <xf numFmtId="4" fontId="4" fillId="25"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4" fontId="6" fillId="0"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0" fontId="6" fillId="25" borderId="10" xfId="0" applyFont="1" applyFill="1" applyBorder="1" applyAlignment="1">
      <alignment horizontal="center" vertical="center"/>
    </xf>
    <xf numFmtId="0" fontId="6" fillId="25" borderId="10" xfId="0" applyFont="1" applyFill="1" applyBorder="1" applyAlignment="1">
      <alignment horizontal="left" vertical="center"/>
    </xf>
    <xf numFmtId="1" fontId="9" fillId="0" borderId="0" xfId="0" applyNumberFormat="1" applyFont="1" applyAlignment="1">
      <alignment/>
    </xf>
    <xf numFmtId="196" fontId="9" fillId="0" borderId="0" xfId="0" applyNumberFormat="1" applyFont="1" applyAlignment="1">
      <alignment/>
    </xf>
    <xf numFmtId="4" fontId="6" fillId="0" borderId="10" xfId="0" applyNumberFormat="1" applyFont="1" applyBorder="1" applyAlignment="1">
      <alignment vertical="center"/>
    </xf>
    <xf numFmtId="4" fontId="6" fillId="25" borderId="10" xfId="0" applyNumberFormat="1" applyFont="1" applyFill="1" applyBorder="1" applyAlignment="1">
      <alignment vertical="center" wrapText="1"/>
    </xf>
    <xf numFmtId="0" fontId="7" fillId="24" borderId="0" xfId="0" applyFont="1" applyFill="1" applyAlignment="1">
      <alignment horizontal="center"/>
    </xf>
    <xf numFmtId="0" fontId="3" fillId="24" borderId="0" xfId="0" applyFont="1" applyFill="1" applyAlignment="1">
      <alignment/>
    </xf>
    <xf numFmtId="0" fontId="4" fillId="24" borderId="0" xfId="0" applyFont="1" applyFill="1" applyAlignment="1">
      <alignment horizontal="center"/>
    </xf>
    <xf numFmtId="0" fontId="7" fillId="24" borderId="0" xfId="0" applyFont="1" applyFill="1" applyAlignment="1">
      <alignment horizontal="right"/>
    </xf>
    <xf numFmtId="0" fontId="7" fillId="24" borderId="0" xfId="0" applyFont="1" applyFill="1" applyAlignment="1">
      <alignment/>
    </xf>
    <xf numFmtId="0" fontId="2" fillId="24" borderId="0" xfId="0" applyFont="1" applyFill="1" applyAlignment="1">
      <alignment/>
    </xf>
    <xf numFmtId="0" fontId="7" fillId="24" borderId="0" xfId="0" applyFont="1" applyFill="1" applyAlignment="1">
      <alignment vertical="center"/>
    </xf>
    <xf numFmtId="49" fontId="7" fillId="24" borderId="0" xfId="0" applyNumberFormat="1" applyFont="1" applyFill="1" applyAlignment="1">
      <alignment horizontal="center" vertical="center"/>
    </xf>
    <xf numFmtId="196" fontId="7" fillId="24" borderId="0" xfId="0" applyNumberFormat="1" applyFont="1" applyFill="1" applyAlignment="1">
      <alignment horizontal="center"/>
    </xf>
    <xf numFmtId="0" fontId="7" fillId="24" borderId="0" xfId="0" applyFont="1" applyFill="1" applyAlignment="1">
      <alignment horizontal="center" wrapText="1"/>
    </xf>
    <xf numFmtId="0" fontId="2" fillId="24" borderId="0" xfId="0" applyFont="1" applyFill="1" applyAlignment="1">
      <alignment vertical="center"/>
    </xf>
    <xf numFmtId="49" fontId="7" fillId="24" borderId="0" xfId="0" applyNumberFormat="1" applyFont="1" applyFill="1" applyBorder="1" applyAlignment="1">
      <alignment horizontal="left" vertical="center"/>
    </xf>
    <xf numFmtId="0" fontId="4" fillId="24" borderId="0" xfId="0" applyFont="1" applyFill="1" applyBorder="1" applyAlignment="1">
      <alignment horizontal="left"/>
    </xf>
    <xf numFmtId="0" fontId="2" fillId="24" borderId="0" xfId="0" applyFont="1" applyFill="1" applyBorder="1" applyAlignment="1">
      <alignment horizontal="left"/>
    </xf>
    <xf numFmtId="0" fontId="2" fillId="24" borderId="0" xfId="0" applyFont="1" applyFill="1" applyBorder="1" applyAlignment="1">
      <alignment horizontal="center"/>
    </xf>
    <xf numFmtId="0" fontId="5" fillId="24" borderId="0" xfId="0" applyFont="1" applyFill="1" applyBorder="1" applyAlignment="1">
      <alignment horizontal="center"/>
    </xf>
    <xf numFmtId="0" fontId="2" fillId="24" borderId="0" xfId="0" applyFont="1" applyFill="1" applyBorder="1" applyAlignment="1">
      <alignment/>
    </xf>
    <xf numFmtId="49" fontId="2" fillId="24" borderId="0" xfId="0" applyNumberFormat="1" applyFont="1" applyFill="1" applyBorder="1" applyAlignment="1">
      <alignment horizontal="center" vertical="center"/>
    </xf>
    <xf numFmtId="0" fontId="11" fillId="24" borderId="0" xfId="0" applyFont="1" applyFill="1" applyBorder="1" applyAlignment="1">
      <alignment horizontal="center"/>
    </xf>
    <xf numFmtId="0" fontId="2" fillId="24" borderId="0" xfId="0" applyFont="1" applyFill="1" applyBorder="1" applyAlignment="1">
      <alignment/>
    </xf>
    <xf numFmtId="196" fontId="2" fillId="24" borderId="0" xfId="0" applyNumberFormat="1" applyFont="1" applyFill="1" applyBorder="1" applyAlignment="1">
      <alignment/>
    </xf>
    <xf numFmtId="196" fontId="7" fillId="24" borderId="0" xfId="0" applyNumberFormat="1" applyFont="1" applyFill="1" applyBorder="1" applyAlignment="1">
      <alignment horizontal="right"/>
    </xf>
    <xf numFmtId="0" fontId="7" fillId="24" borderId="12" xfId="0" applyFont="1" applyFill="1" applyBorder="1" applyAlignment="1">
      <alignment horizontal="center" vertical="center" wrapText="1"/>
    </xf>
    <xf numFmtId="49" fontId="7" fillId="24" borderId="12" xfId="0" applyNumberFormat="1" applyFont="1" applyFill="1" applyBorder="1" applyAlignment="1">
      <alignment horizontal="center" vertical="center" wrapText="1"/>
    </xf>
    <xf numFmtId="0" fontId="7" fillId="24" borderId="13" xfId="0" applyFont="1" applyFill="1" applyBorder="1" applyAlignment="1">
      <alignment horizontal="center" vertical="center" wrapText="1"/>
    </xf>
    <xf numFmtId="0" fontId="7" fillId="24" borderId="12" xfId="0" applyFont="1" applyFill="1" applyBorder="1" applyAlignment="1">
      <alignment horizontal="center" vertical="center"/>
    </xf>
    <xf numFmtId="49" fontId="7" fillId="24" borderId="0" xfId="0" applyNumberFormat="1" applyFont="1" applyFill="1" applyAlignment="1">
      <alignment horizontal="right" vertical="center"/>
    </xf>
    <xf numFmtId="0" fontId="4" fillId="24" borderId="0" xfId="0" applyFont="1" applyFill="1" applyAlignment="1">
      <alignment horizontal="right"/>
    </xf>
    <xf numFmtId="196" fontId="7" fillId="24" borderId="0" xfId="0" applyNumberFormat="1" applyFont="1" applyFill="1" applyAlignment="1">
      <alignment horizontal="right"/>
    </xf>
    <xf numFmtId="196" fontId="7" fillId="24" borderId="0" xfId="0" applyNumberFormat="1" applyFont="1" applyFill="1" applyAlignment="1">
      <alignment/>
    </xf>
    <xf numFmtId="0" fontId="6" fillId="0" borderId="10" xfId="0" applyFont="1" applyBorder="1" applyAlignment="1">
      <alignment horizontal="center" vertical="center"/>
    </xf>
    <xf numFmtId="0" fontId="4" fillId="0" borderId="10" xfId="0" applyFont="1" applyBorder="1" applyAlignment="1">
      <alignment vertical="center" wrapText="1"/>
    </xf>
    <xf numFmtId="0" fontId="3" fillId="0" borderId="0" xfId="0" applyFont="1" applyAlignment="1">
      <alignment horizontal="center" wrapText="1"/>
    </xf>
    <xf numFmtId="0" fontId="19" fillId="0" borderId="0" xfId="0" applyFont="1" applyAlignment="1">
      <alignment horizontal="right"/>
    </xf>
    <xf numFmtId="0" fontId="13" fillId="0" borderId="0" xfId="0" applyFont="1" applyAlignment="1">
      <alignment horizontal="right" wrapText="1" shrinkToFit="1"/>
    </xf>
    <xf numFmtId="0" fontId="13" fillId="0" borderId="12" xfId="0" applyFont="1" applyFill="1" applyBorder="1" applyAlignment="1">
      <alignment horizontal="center" vertical="center" wrapText="1"/>
    </xf>
    <xf numFmtId="0" fontId="6" fillId="0" borderId="10" xfId="0" applyFont="1" applyBorder="1" applyAlignment="1">
      <alignment vertical="center" wrapText="1"/>
    </xf>
    <xf numFmtId="0" fontId="18" fillId="0" borderId="0" xfId="0" applyFont="1" applyAlignment="1">
      <alignment/>
    </xf>
    <xf numFmtId="4" fontId="5" fillId="0" borderId="10" xfId="0" applyNumberFormat="1" applyFont="1" applyFill="1" applyBorder="1" applyAlignment="1">
      <alignment vertical="center" shrinkToFit="1"/>
    </xf>
    <xf numFmtId="0" fontId="16"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4" fontId="5" fillId="0" borderId="10" xfId="0" applyNumberFormat="1" applyFont="1" applyFill="1" applyBorder="1" applyAlignment="1">
      <alignment vertical="center" shrinkToFit="1"/>
    </xf>
    <xf numFmtId="0" fontId="7" fillId="0" borderId="10" xfId="0" applyFont="1" applyFill="1" applyBorder="1" applyAlignment="1">
      <alignment horizontal="left" vertical="center"/>
    </xf>
    <xf numFmtId="0" fontId="7" fillId="0" borderId="10" xfId="0" applyFont="1" applyFill="1" applyBorder="1" applyAlignment="1">
      <alignment vertical="center" wrapText="1"/>
    </xf>
    <xf numFmtId="49" fontId="8" fillId="0" borderId="10" xfId="0" applyNumberFormat="1" applyFont="1" applyFill="1" applyBorder="1" applyAlignment="1">
      <alignment horizontal="center" vertical="center"/>
    </xf>
    <xf numFmtId="0" fontId="9" fillId="0" borderId="0" xfId="0" applyFont="1" applyFill="1" applyAlignment="1">
      <alignment/>
    </xf>
    <xf numFmtId="0" fontId="9" fillId="0" borderId="0" xfId="0" applyFont="1" applyFill="1" applyAlignment="1">
      <alignment vertical="center"/>
    </xf>
    <xf numFmtId="0" fontId="18" fillId="0" borderId="0" xfId="0" applyFont="1" applyFill="1" applyAlignment="1">
      <alignment vertical="center"/>
    </xf>
    <xf numFmtId="0" fontId="18" fillId="0" borderId="0" xfId="0" applyFont="1" applyFill="1" applyAlignment="1">
      <alignment vertical="center"/>
    </xf>
    <xf numFmtId="49" fontId="17" fillId="0" borderId="0" xfId="0" applyNumberFormat="1" applyFont="1" applyFill="1" applyAlignment="1">
      <alignment horizontal="center"/>
    </xf>
    <xf numFmtId="49" fontId="3" fillId="0" borderId="0" xfId="0" applyNumberFormat="1" applyFont="1" applyFill="1" applyAlignment="1">
      <alignment horizontal="center"/>
    </xf>
    <xf numFmtId="0" fontId="9" fillId="0" borderId="0" xfId="0" applyFont="1" applyFill="1" applyAlignment="1">
      <alignment wrapText="1"/>
    </xf>
    <xf numFmtId="0" fontId="3" fillId="0" borderId="0" xfId="0" applyFont="1" applyFill="1" applyAlignment="1">
      <alignment/>
    </xf>
    <xf numFmtId="0" fontId="13" fillId="0" borderId="0" xfId="0" applyFont="1" applyFill="1" applyAlignment="1">
      <alignment/>
    </xf>
    <xf numFmtId="49" fontId="22" fillId="0" borderId="0" xfId="0" applyNumberFormat="1" applyFont="1" applyFill="1" applyAlignment="1">
      <alignment horizontal="center"/>
    </xf>
    <xf numFmtId="49" fontId="20" fillId="0" borderId="0" xfId="0" applyNumberFormat="1" applyFont="1" applyFill="1" applyAlignment="1">
      <alignment horizontal="center"/>
    </xf>
    <xf numFmtId="0" fontId="20" fillId="0" borderId="0" xfId="0" applyFont="1" applyFill="1" applyAlignment="1">
      <alignment wrapText="1"/>
    </xf>
    <xf numFmtId="1" fontId="20" fillId="0" borderId="0" xfId="0" applyNumberFormat="1" applyFont="1" applyFill="1" applyAlignment="1">
      <alignment/>
    </xf>
    <xf numFmtId="0" fontId="20" fillId="0" borderId="0" xfId="0" applyFont="1" applyFill="1" applyAlignment="1">
      <alignment/>
    </xf>
    <xf numFmtId="0" fontId="7" fillId="0" borderId="12"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197" fontId="7" fillId="0" borderId="10" xfId="49" applyNumberFormat="1" applyFont="1" applyFill="1" applyBorder="1" applyAlignment="1">
      <alignment horizontal="left" vertical="center" wrapText="1"/>
      <protection/>
    </xf>
    <xf numFmtId="0" fontId="8"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6" fillId="0" borderId="10" xfId="0" applyFont="1" applyFill="1" applyBorder="1" applyAlignment="1">
      <alignment vertical="center"/>
    </xf>
    <xf numFmtId="0" fontId="6" fillId="0" borderId="0" xfId="0" applyFont="1" applyFill="1" applyBorder="1" applyAlignment="1">
      <alignment/>
    </xf>
    <xf numFmtId="0" fontId="4" fillId="0" borderId="10" xfId="0" applyFont="1" applyFill="1" applyBorder="1" applyAlignment="1">
      <alignment vertical="center"/>
    </xf>
    <xf numFmtId="0" fontId="4" fillId="0" borderId="0" xfId="0" applyFont="1" applyFill="1" applyBorder="1" applyAlignment="1">
      <alignment/>
    </xf>
    <xf numFmtId="0" fontId="4" fillId="0" borderId="0" xfId="0" applyFont="1" applyFill="1" applyBorder="1" applyAlignment="1">
      <alignment horizontal="center"/>
    </xf>
    <xf numFmtId="3" fontId="4" fillId="0" borderId="0" xfId="0" applyNumberFormat="1" applyFont="1" applyFill="1" applyBorder="1" applyAlignment="1">
      <alignment/>
    </xf>
    <xf numFmtId="0" fontId="3" fillId="0" borderId="0" xfId="0" applyFont="1" applyFill="1" applyAlignment="1">
      <alignment/>
    </xf>
    <xf numFmtId="49" fontId="6" fillId="0" borderId="0" xfId="0" applyNumberFormat="1" applyFont="1" applyFill="1" applyAlignment="1">
      <alignment horizontal="center"/>
    </xf>
    <xf numFmtId="0" fontId="4" fillId="0" borderId="0" xfId="0" applyFont="1" applyFill="1" applyAlignment="1">
      <alignment/>
    </xf>
    <xf numFmtId="0" fontId="15" fillId="0" borderId="0" xfId="0" applyFont="1" applyFill="1" applyAlignment="1">
      <alignment horizontal="center"/>
    </xf>
    <xf numFmtId="0" fontId="21"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right"/>
    </xf>
    <xf numFmtId="0" fontId="19" fillId="0" borderId="0" xfId="0" applyFont="1" applyFill="1" applyAlignment="1">
      <alignment/>
    </xf>
    <xf numFmtId="49" fontId="6" fillId="0" borderId="10" xfId="0" applyNumberFormat="1" applyFont="1" applyFill="1" applyBorder="1" applyAlignment="1">
      <alignment horizontal="center"/>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0" fontId="27" fillId="0" borderId="10" xfId="0" applyFont="1" applyFill="1" applyBorder="1" applyAlignment="1">
      <alignment horizontal="left" vertical="center" wrapText="1"/>
    </xf>
    <xf numFmtId="49" fontId="5" fillId="0" borderId="10" xfId="0" applyNumberFormat="1" applyFont="1" applyFill="1" applyBorder="1" applyAlignment="1">
      <alignment horizontal="right"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left" vertical="center"/>
    </xf>
    <xf numFmtId="0" fontId="8" fillId="0" borderId="12" xfId="0" applyFont="1" applyFill="1" applyBorder="1" applyAlignment="1">
      <alignment horizontal="right" vertical="center"/>
    </xf>
    <xf numFmtId="4" fontId="5" fillId="0" borderId="12" xfId="0" applyNumberFormat="1" applyFont="1" applyFill="1" applyBorder="1" applyAlignment="1">
      <alignment horizontal="right" vertical="center" shrinkToFit="1"/>
    </xf>
    <xf numFmtId="0" fontId="5" fillId="0" borderId="0" xfId="0" applyFont="1" applyFill="1" applyAlignment="1">
      <alignment/>
    </xf>
    <xf numFmtId="49" fontId="5" fillId="0" borderId="10" xfId="0" applyNumberFormat="1"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vertical="center" wrapText="1"/>
    </xf>
    <xf numFmtId="0" fontId="8" fillId="0" borderId="12" xfId="0" applyFont="1" applyFill="1" applyBorder="1" applyAlignment="1">
      <alignment horizontal="center" vertical="center" wrapText="1"/>
    </xf>
    <xf numFmtId="0" fontId="6" fillId="0" borderId="0" xfId="0" applyFont="1" applyFill="1" applyAlignment="1">
      <alignment/>
    </xf>
    <xf numFmtId="49" fontId="7" fillId="0" borderId="10" xfId="0" applyNumberFormat="1" applyFont="1" applyFill="1" applyBorder="1" applyAlignment="1">
      <alignment horizontal="center" vertical="center" wrapText="1"/>
    </xf>
    <xf numFmtId="0" fontId="7" fillId="0" borderId="14" xfId="0" applyFont="1" applyFill="1" applyBorder="1" applyAlignment="1">
      <alignment horizontal="left" vertical="center" wrapText="1"/>
    </xf>
    <xf numFmtId="4" fontId="7" fillId="0" borderId="12" xfId="0" applyNumberFormat="1" applyFont="1" applyFill="1" applyBorder="1" applyAlignment="1">
      <alignment horizontal="right" vertical="center" shrinkToFit="1"/>
    </xf>
    <xf numFmtId="4" fontId="7" fillId="0" borderId="10" xfId="0" applyNumberFormat="1" applyFont="1" applyFill="1" applyBorder="1" applyAlignment="1">
      <alignment horizontal="right" vertical="center" shrinkToFit="1"/>
    </xf>
    <xf numFmtId="0" fontId="5" fillId="0" borderId="12" xfId="0" applyFont="1" applyFill="1" applyBorder="1" applyAlignment="1">
      <alignment vertical="center" wrapText="1"/>
    </xf>
    <xf numFmtId="0" fontId="7" fillId="0" borderId="13" xfId="0" applyFont="1" applyFill="1" applyBorder="1" applyAlignment="1">
      <alignment horizontal="left" vertical="center" wrapText="1"/>
    </xf>
    <xf numFmtId="0" fontId="6" fillId="0" borderId="0" xfId="0" applyFont="1" applyFill="1" applyAlignment="1">
      <alignment/>
    </xf>
    <xf numFmtId="0" fontId="5" fillId="0" borderId="13"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5" fillId="0" borderId="12" xfId="0" applyFont="1" applyFill="1" applyBorder="1" applyAlignment="1">
      <alignment horizontal="left" vertical="center" wrapText="1"/>
    </xf>
    <xf numFmtId="49" fontId="7" fillId="0" borderId="10" xfId="0" applyNumberFormat="1" applyFont="1" applyFill="1" applyBorder="1" applyAlignment="1">
      <alignment horizontal="center" vertical="center"/>
    </xf>
    <xf numFmtId="0" fontId="16" fillId="0" borderId="14"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13" fillId="0" borderId="12"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4" xfId="0"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8" fillId="0" borderId="12" xfId="0" applyFont="1" applyFill="1" applyBorder="1" applyAlignment="1">
      <alignment horizontal="center" vertical="center" wrapText="1"/>
    </xf>
    <xf numFmtId="197" fontId="5" fillId="0" borderId="10" xfId="49" applyNumberFormat="1" applyFont="1" applyFill="1" applyBorder="1" applyAlignment="1">
      <alignment horizontal="left" vertical="center" wrapText="1"/>
      <protection/>
    </xf>
    <xf numFmtId="197" fontId="5" fillId="0" borderId="15" xfId="49" applyNumberFormat="1" applyFont="1" applyFill="1" applyBorder="1" applyAlignment="1">
      <alignment horizontal="left" vertical="center" wrapText="1"/>
      <protection/>
    </xf>
    <xf numFmtId="0" fontId="5" fillId="0" borderId="15" xfId="0" applyFont="1" applyFill="1" applyBorder="1" applyAlignment="1">
      <alignment vertical="center" wrapText="1"/>
    </xf>
    <xf numFmtId="0" fontId="7" fillId="0" borderId="15" xfId="0" applyFont="1" applyFill="1" applyBorder="1" applyAlignment="1">
      <alignment vertical="center" wrapText="1"/>
    </xf>
    <xf numFmtId="49" fontId="12" fillId="0" borderId="10" xfId="0" applyNumberFormat="1" applyFont="1" applyFill="1" applyBorder="1" applyAlignment="1">
      <alignment horizontal="center" vertical="center"/>
    </xf>
    <xf numFmtId="49" fontId="28" fillId="0" borderId="10" xfId="0" applyNumberFormat="1" applyFont="1" applyFill="1" applyBorder="1" applyAlignment="1">
      <alignment horizontal="center" vertical="center"/>
    </xf>
    <xf numFmtId="0" fontId="7" fillId="0" borderId="0" xfId="0" applyFont="1" applyFill="1" applyBorder="1" applyAlignment="1">
      <alignment vertical="center"/>
    </xf>
    <xf numFmtId="49" fontId="7" fillId="0" borderId="0" xfId="0"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0" fontId="7" fillId="0" borderId="0" xfId="0" applyFont="1" applyFill="1" applyBorder="1" applyAlignment="1">
      <alignment horizontal="right" vertical="center" wrapText="1"/>
    </xf>
    <xf numFmtId="196" fontId="7" fillId="0" borderId="0" xfId="0" applyNumberFormat="1" applyFont="1" applyFill="1" applyBorder="1" applyAlignment="1">
      <alignment horizontal="right"/>
    </xf>
    <xf numFmtId="0" fontId="7" fillId="0" borderId="0" xfId="0" applyFont="1" applyFill="1" applyBorder="1" applyAlignment="1">
      <alignment horizontal="right"/>
    </xf>
    <xf numFmtId="0" fontId="7" fillId="0" borderId="0" xfId="0" applyFont="1" applyFill="1" applyBorder="1" applyAlignment="1">
      <alignment/>
    </xf>
    <xf numFmtId="0" fontId="8" fillId="0" borderId="0" xfId="0" applyFont="1" applyFill="1" applyBorder="1" applyAlignment="1">
      <alignment vertical="center"/>
    </xf>
    <xf numFmtId="0" fontId="8" fillId="0" borderId="0" xfId="0" applyFont="1" applyFill="1" applyBorder="1" applyAlignment="1">
      <alignment/>
    </xf>
    <xf numFmtId="49" fontId="7" fillId="0" borderId="0" xfId="0" applyNumberFormat="1" applyFont="1" applyFill="1" applyBorder="1" applyAlignment="1">
      <alignment horizontal="right" vertical="center"/>
    </xf>
    <xf numFmtId="0" fontId="4" fillId="0" borderId="0" xfId="0" applyFont="1" applyFill="1" applyBorder="1" applyAlignment="1">
      <alignment horizontal="right"/>
    </xf>
    <xf numFmtId="0" fontId="7" fillId="0" borderId="0" xfId="0" applyFont="1" applyFill="1" applyAlignment="1">
      <alignment/>
    </xf>
    <xf numFmtId="0" fontId="7" fillId="0" borderId="0" xfId="0" applyFont="1" applyFill="1" applyAlignment="1">
      <alignment vertical="center"/>
    </xf>
    <xf numFmtId="49" fontId="7" fillId="0" borderId="0" xfId="0" applyNumberFormat="1" applyFont="1" applyFill="1" applyAlignment="1">
      <alignment horizontal="right" vertical="center"/>
    </xf>
    <xf numFmtId="0" fontId="4" fillId="0" borderId="0" xfId="0" applyFont="1" applyFill="1" applyAlignment="1">
      <alignment horizontal="right"/>
    </xf>
    <xf numFmtId="196" fontId="7" fillId="0" borderId="0" xfId="0" applyNumberFormat="1" applyFont="1" applyFill="1" applyAlignment="1">
      <alignment horizontal="right"/>
    </xf>
    <xf numFmtId="0" fontId="6" fillId="0" borderId="14" xfId="0" applyFont="1" applyFill="1" applyBorder="1" applyAlignment="1">
      <alignment horizontal="center" vertical="center"/>
    </xf>
    <xf numFmtId="0" fontId="6" fillId="0" borderId="16" xfId="0" applyFont="1" applyFill="1" applyBorder="1" applyAlignment="1">
      <alignment horizontal="center" vertical="center"/>
    </xf>
    <xf numFmtId="0" fontId="3" fillId="0" borderId="0" xfId="0" applyFont="1" applyAlignment="1">
      <alignment horizontal="center"/>
    </xf>
    <xf numFmtId="0" fontId="3" fillId="0" borderId="0" xfId="0" applyFont="1" applyFill="1" applyAlignment="1">
      <alignment horizontal="center"/>
    </xf>
    <xf numFmtId="0" fontId="3" fillId="0" borderId="0" xfId="0" applyFont="1" applyFill="1" applyAlignment="1">
      <alignment horizontal="center" wrapText="1"/>
    </xf>
    <xf numFmtId="0" fontId="3" fillId="0" borderId="0" xfId="0" applyFont="1" applyAlignment="1">
      <alignment horizontal="right"/>
    </xf>
    <xf numFmtId="0" fontId="10" fillId="0" borderId="0" xfId="0" applyFont="1" applyAlignment="1">
      <alignment horizontal="center"/>
    </xf>
    <xf numFmtId="0" fontId="14" fillId="0" borderId="0" xfId="0" applyFont="1" applyAlignment="1">
      <alignment horizontal="center"/>
    </xf>
    <xf numFmtId="0" fontId="3" fillId="0" borderId="0" xfId="0" applyFont="1" applyFill="1" applyAlignment="1">
      <alignment horizontal="center" wrapText="1"/>
    </xf>
    <xf numFmtId="0" fontId="3" fillId="0" borderId="10" xfId="0" applyFont="1" applyBorder="1" applyAlignment="1">
      <alignment horizontal="center" vertical="center" wrapText="1"/>
    </xf>
    <xf numFmtId="0" fontId="6" fillId="25" borderId="14" xfId="0" applyFont="1" applyFill="1" applyBorder="1" applyAlignment="1">
      <alignment horizontal="center" vertical="center"/>
    </xf>
    <xf numFmtId="0" fontId="6" fillId="25" borderId="17" xfId="0" applyFont="1" applyFill="1" applyBorder="1" applyAlignment="1">
      <alignment horizontal="center" vertical="center"/>
    </xf>
    <xf numFmtId="0" fontId="8" fillId="0" borderId="0" xfId="0" applyFont="1" applyAlignment="1">
      <alignment horizontal="center" wrapText="1"/>
    </xf>
    <xf numFmtId="0" fontId="8" fillId="0" borderId="0" xfId="0" applyFont="1" applyAlignment="1">
      <alignment horizontal="center"/>
    </xf>
    <xf numFmtId="0" fontId="3" fillId="25" borderId="10" xfId="0" applyFont="1" applyFill="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wrapText="1" shrinkToFit="1"/>
    </xf>
    <xf numFmtId="0" fontId="10" fillId="0" borderId="0" xfId="0" applyFont="1" applyAlignment="1">
      <alignment horizontal="center" wrapText="1"/>
    </xf>
    <xf numFmtId="196"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1" fontId="6" fillId="0" borderId="17" xfId="0" applyNumberFormat="1" applyFont="1" applyBorder="1" applyAlignment="1">
      <alignment horizontal="center"/>
    </xf>
    <xf numFmtId="0" fontId="6" fillId="0" borderId="17" xfId="0" applyFont="1" applyFill="1" applyBorder="1" applyAlignment="1">
      <alignment horizontal="center" vertical="center"/>
    </xf>
    <xf numFmtId="0" fontId="8" fillId="0" borderId="18" xfId="0" applyFont="1" applyFill="1" applyBorder="1" applyAlignment="1">
      <alignment horizontal="center"/>
    </xf>
    <xf numFmtId="0" fontId="3" fillId="0" borderId="10" xfId="0" applyFont="1" applyBorder="1" applyAlignment="1">
      <alignment vertical="center"/>
    </xf>
    <xf numFmtId="196" fontId="3" fillId="0" borderId="15"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shrinkToFit="1"/>
    </xf>
    <xf numFmtId="0" fontId="3" fillId="0" borderId="12" xfId="0" applyFont="1" applyBorder="1" applyAlignment="1">
      <alignment horizontal="center" vertical="center" shrinkToFi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3" fillId="0" borderId="0" xfId="0" applyFont="1" applyAlignment="1">
      <alignment horizontal="center"/>
    </xf>
    <xf numFmtId="0" fontId="13" fillId="0" borderId="0" xfId="0" applyFont="1" applyAlignment="1">
      <alignment horizontal="center" wrapText="1"/>
    </xf>
    <xf numFmtId="0" fontId="13" fillId="0" borderId="0" xfId="0" applyFont="1" applyFill="1" applyAlignment="1">
      <alignment horizontal="center"/>
    </xf>
    <xf numFmtId="0" fontId="13" fillId="0" borderId="0" xfId="0" applyFont="1" applyAlignment="1">
      <alignment horizontal="center" wrapText="1" shrinkToFit="1"/>
    </xf>
    <xf numFmtId="0" fontId="4" fillId="0" borderId="10" xfId="0" applyFont="1" applyFill="1" applyBorder="1" applyAlignment="1">
      <alignment horizontal="center" vertical="center" wrapText="1"/>
    </xf>
    <xf numFmtId="0" fontId="29" fillId="0" borderId="0" xfId="0" applyFont="1" applyFill="1" applyAlignment="1">
      <alignment horizontal="center"/>
    </xf>
    <xf numFmtId="0" fontId="30" fillId="0" borderId="0" xfId="0" applyFont="1" applyFill="1" applyAlignment="1">
      <alignment horizontal="center"/>
    </xf>
    <xf numFmtId="0" fontId="7" fillId="0" borderId="11" xfId="0" applyFont="1" applyFill="1" applyBorder="1" applyAlignment="1">
      <alignment horizontal="center" shrinkToFit="1"/>
    </xf>
    <xf numFmtId="0" fontId="9" fillId="0" borderId="0" xfId="0" applyFont="1" applyFill="1" applyAlignment="1">
      <alignment horizontal="center"/>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5" fillId="0" borderId="0" xfId="0" applyFont="1" applyFill="1" applyAlignment="1">
      <alignment horizontal="center" wrapText="1"/>
    </xf>
    <xf numFmtId="49" fontId="3" fillId="0" borderId="15"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15" fillId="24" borderId="0" xfId="0" applyFont="1" applyFill="1" applyBorder="1" applyAlignment="1">
      <alignment horizontal="center"/>
    </xf>
    <xf numFmtId="0" fontId="7" fillId="24" borderId="11" xfId="0" applyFont="1" applyFill="1" applyBorder="1" applyAlignment="1">
      <alignment horizontal="center" shrinkToFit="1"/>
    </xf>
    <xf numFmtId="0" fontId="7" fillId="24" borderId="0" xfId="0" applyFont="1" applyFill="1" applyAlignment="1">
      <alignment horizontal="center"/>
    </xf>
    <xf numFmtId="196" fontId="7" fillId="24" borderId="0" xfId="0" applyNumberFormat="1" applyFont="1" applyFill="1" applyAlignment="1">
      <alignment horizontal="center"/>
    </xf>
    <xf numFmtId="0" fontId="0" fillId="24" borderId="0" xfId="0" applyFill="1" applyAlignment="1">
      <alignment horizontal="center"/>
    </xf>
    <xf numFmtId="0" fontId="7" fillId="24" borderId="0" xfId="0" applyFont="1" applyFill="1" applyAlignment="1">
      <alignment horizontal="center" wrapText="1"/>
    </xf>
    <xf numFmtId="0" fontId="0" fillId="24" borderId="0" xfId="0" applyFill="1" applyAlignment="1">
      <alignment horizontal="center" wrapText="1"/>
    </xf>
    <xf numFmtId="0" fontId="7" fillId="24" borderId="0" xfId="0" applyFont="1" applyFill="1" applyAlignment="1">
      <alignment horizontal="center" wrapText="1" shrinkToFit="1"/>
    </xf>
    <xf numFmtId="0" fontId="0" fillId="24" borderId="0" xfId="0" applyFill="1" applyAlignment="1">
      <alignment horizontal="center" wrapText="1" shrinkToFit="1"/>
    </xf>
    <xf numFmtId="0" fontId="7" fillId="24" borderId="14" xfId="0" applyFont="1" applyFill="1" applyBorder="1" applyAlignment="1">
      <alignment horizontal="center" vertical="center" wrapText="1"/>
    </xf>
    <xf numFmtId="0" fontId="7" fillId="24" borderId="17" xfId="0" applyFont="1" applyFill="1" applyBorder="1" applyAlignment="1">
      <alignment horizontal="center" vertical="center" wrapText="1"/>
    </xf>
    <xf numFmtId="0" fontId="5" fillId="0" borderId="0" xfId="0" applyFont="1" applyFill="1" applyBorder="1" applyAlignment="1">
      <alignment horizontal="center"/>
    </xf>
    <xf numFmtId="0" fontId="3" fillId="24" borderId="15" xfId="0" applyFont="1" applyFill="1" applyBorder="1" applyAlignment="1">
      <alignment horizontal="center" vertical="center" wrapText="1"/>
    </xf>
    <xf numFmtId="0" fontId="3" fillId="24" borderId="12" xfId="0" applyFont="1" applyFill="1" applyBorder="1" applyAlignment="1">
      <alignment horizontal="center" vertical="center" wrapText="1"/>
    </xf>
    <xf numFmtId="49" fontId="3" fillId="24" borderId="15" xfId="0" applyNumberFormat="1" applyFont="1" applyFill="1" applyBorder="1" applyAlignment="1">
      <alignment horizontal="center" vertical="center" wrapText="1"/>
    </xf>
    <xf numFmtId="49" fontId="3" fillId="24" borderId="12" xfId="0" applyNumberFormat="1"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2" xfId="0" applyFont="1" applyFill="1" applyBorder="1" applyAlignment="1">
      <alignment horizontal="center" vertical="center" wrapText="1"/>
    </xf>
    <xf numFmtId="0" fontId="7" fillId="24" borderId="15" xfId="0" applyFont="1" applyFill="1" applyBorder="1" applyAlignment="1">
      <alignment horizontal="center" vertical="center"/>
    </xf>
    <xf numFmtId="0" fontId="7" fillId="24" borderId="12" xfId="0"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199"/>
  <sheetViews>
    <sheetView workbookViewId="0" topLeftCell="B1">
      <selection activeCell="C19" sqref="C19"/>
    </sheetView>
  </sheetViews>
  <sheetFormatPr defaultColWidth="9.00390625" defaultRowHeight="12.75"/>
  <cols>
    <col min="1" max="1" width="14.375" style="8" customWidth="1"/>
    <col min="2" max="2" width="58.125" style="33" customWidth="1"/>
    <col min="3" max="3" width="18.75390625" style="33" customWidth="1"/>
    <col min="4" max="4" width="17.125" style="5" customWidth="1"/>
    <col min="5" max="5" width="16.125" style="5" customWidth="1"/>
    <col min="6" max="6" width="16.00390625" style="5" customWidth="1"/>
    <col min="7" max="7" width="9.125" style="5" bestFit="1" customWidth="1"/>
    <col min="8" max="16384" width="9.125" style="5" customWidth="1"/>
  </cols>
  <sheetData>
    <row r="1" spans="2:6" ht="13.5">
      <c r="B1" s="5"/>
      <c r="C1" s="5"/>
      <c r="D1" s="204" t="s">
        <v>280</v>
      </c>
      <c r="E1" s="204"/>
      <c r="F1" s="204"/>
    </row>
    <row r="2" spans="2:6" ht="13.5">
      <c r="B2" s="5"/>
      <c r="C2" s="5"/>
      <c r="D2" s="205" t="s">
        <v>269</v>
      </c>
      <c r="E2" s="205"/>
      <c r="F2" s="205"/>
    </row>
    <row r="3" spans="2:6" ht="31.5" customHeight="1">
      <c r="B3" s="5"/>
      <c r="C3" s="16"/>
      <c r="D3" s="206" t="s">
        <v>256</v>
      </c>
      <c r="E3" s="206"/>
      <c r="F3" s="206"/>
    </row>
    <row r="4" spans="2:6" ht="30.75" customHeight="1">
      <c r="B4" s="5"/>
      <c r="C4" s="95"/>
      <c r="D4" s="210" t="s">
        <v>34</v>
      </c>
      <c r="E4" s="210"/>
      <c r="F4" s="210"/>
    </row>
    <row r="5" spans="2:6" ht="13.5">
      <c r="B5" s="5"/>
      <c r="C5" s="207"/>
      <c r="D5" s="207"/>
      <c r="E5" s="207"/>
      <c r="F5" s="207"/>
    </row>
    <row r="6" ht="12.75">
      <c r="F6" s="33"/>
    </row>
    <row r="7" spans="1:6" ht="21">
      <c r="A7" s="208" t="s">
        <v>232</v>
      </c>
      <c r="B7" s="209"/>
      <c r="C7" s="209"/>
      <c r="D7" s="209"/>
      <c r="E7" s="209"/>
      <c r="F7" s="209"/>
    </row>
    <row r="8" spans="1:6" ht="17.25" customHeight="1">
      <c r="A8" s="19">
        <v>10508000000</v>
      </c>
      <c r="B8" s="4"/>
      <c r="C8" s="4"/>
      <c r="D8" s="4"/>
      <c r="E8" s="4"/>
      <c r="F8" s="4"/>
    </row>
    <row r="9" spans="1:6" ht="17.25" customHeight="1">
      <c r="A9" s="8" t="s">
        <v>281</v>
      </c>
      <c r="B9" s="15"/>
      <c r="C9" s="4"/>
      <c r="D9" s="4"/>
      <c r="E9" s="4"/>
      <c r="F9" s="4"/>
    </row>
    <row r="10" spans="3:6" ht="21" customHeight="1">
      <c r="C10" s="96"/>
      <c r="F10" s="7" t="s">
        <v>282</v>
      </c>
    </row>
    <row r="11" spans="1:11" s="1" customFormat="1" ht="13.5" customHeight="1">
      <c r="A11" s="211" t="s">
        <v>283</v>
      </c>
      <c r="B11" s="211" t="s">
        <v>284</v>
      </c>
      <c r="C11" s="216" t="s">
        <v>285</v>
      </c>
      <c r="D11" s="211" t="s">
        <v>286</v>
      </c>
      <c r="E11" s="211" t="s">
        <v>287</v>
      </c>
      <c r="F11" s="211"/>
      <c r="G11" s="45"/>
      <c r="H11" s="45"/>
      <c r="I11" s="45"/>
      <c r="J11" s="45"/>
      <c r="K11" s="45"/>
    </row>
    <row r="12" spans="1:11" s="1" customFormat="1" ht="12.75" customHeight="1">
      <c r="A12" s="211"/>
      <c r="B12" s="211"/>
      <c r="C12" s="216"/>
      <c r="D12" s="211"/>
      <c r="E12" s="211" t="s">
        <v>288</v>
      </c>
      <c r="F12" s="211" t="s">
        <v>289</v>
      </c>
      <c r="G12" s="45"/>
      <c r="H12" s="45"/>
      <c r="I12" s="45"/>
      <c r="J12" s="45"/>
      <c r="K12" s="45"/>
    </row>
    <row r="13" spans="1:11" s="1" customFormat="1" ht="13.5">
      <c r="A13" s="211"/>
      <c r="B13" s="211"/>
      <c r="C13" s="216"/>
      <c r="D13" s="211"/>
      <c r="E13" s="211"/>
      <c r="F13" s="211"/>
      <c r="G13" s="45"/>
      <c r="H13" s="45"/>
      <c r="I13" s="45"/>
      <c r="J13" s="45"/>
      <c r="K13" s="45"/>
    </row>
    <row r="14" spans="1:11" s="44" customFormat="1" ht="13.5">
      <c r="A14" s="46">
        <v>1</v>
      </c>
      <c r="B14" s="46">
        <v>2</v>
      </c>
      <c r="C14" s="47">
        <v>3</v>
      </c>
      <c r="D14" s="46">
        <v>4</v>
      </c>
      <c r="E14" s="46">
        <v>5</v>
      </c>
      <c r="F14" s="46">
        <v>6</v>
      </c>
      <c r="G14" s="48"/>
      <c r="H14" s="48"/>
      <c r="I14" s="48"/>
      <c r="J14" s="48"/>
      <c r="K14" s="48"/>
    </row>
    <row r="15" spans="1:6" ht="15">
      <c r="A15" s="24">
        <v>10000000</v>
      </c>
      <c r="B15" s="41" t="s">
        <v>290</v>
      </c>
      <c r="C15" s="49">
        <f aca="true" t="shared" si="0" ref="C15:C26">SUM(D15:E15)</f>
        <v>163330490</v>
      </c>
      <c r="D15" s="25">
        <f>D16+D24+D34+D42+D60</f>
        <v>163198400</v>
      </c>
      <c r="E15" s="25">
        <f>E16+E24+E34+E42+E60</f>
        <v>132090</v>
      </c>
      <c r="F15" s="25">
        <f>F16+F24+F34+F42+F60</f>
        <v>0</v>
      </c>
    </row>
    <row r="16" spans="1:6" ht="30.75">
      <c r="A16" s="24">
        <v>11000000</v>
      </c>
      <c r="B16" s="41" t="s">
        <v>291</v>
      </c>
      <c r="C16" s="49">
        <f t="shared" si="0"/>
        <v>105621750</v>
      </c>
      <c r="D16" s="25">
        <f>D17+D22</f>
        <v>105621750</v>
      </c>
      <c r="E16" s="25">
        <f>E17+E22</f>
        <v>0</v>
      </c>
      <c r="F16" s="25">
        <f>F17+F22</f>
        <v>0</v>
      </c>
    </row>
    <row r="17" spans="1:6" ht="15">
      <c r="A17" s="24">
        <v>11010000</v>
      </c>
      <c r="B17" s="41" t="s">
        <v>292</v>
      </c>
      <c r="C17" s="49">
        <f t="shared" si="0"/>
        <v>105616750</v>
      </c>
      <c r="D17" s="25">
        <f>SUM(D18:D21)</f>
        <v>105616750</v>
      </c>
      <c r="E17" s="25">
        <f>SUM(E18:E21)</f>
        <v>0</v>
      </c>
      <c r="F17" s="25">
        <f>SUM(F18:F21)</f>
        <v>0</v>
      </c>
    </row>
    <row r="18" spans="1:6" ht="46.5">
      <c r="A18" s="50">
        <v>11010100</v>
      </c>
      <c r="B18" s="42" t="s">
        <v>293</v>
      </c>
      <c r="C18" s="51">
        <f t="shared" si="0"/>
        <v>77049850</v>
      </c>
      <c r="D18" s="26">
        <v>77049850</v>
      </c>
      <c r="E18" s="26"/>
      <c r="F18" s="26"/>
    </row>
    <row r="19" spans="1:6" ht="78" customHeight="1">
      <c r="A19" s="50">
        <v>11010200</v>
      </c>
      <c r="B19" s="42" t="s">
        <v>294</v>
      </c>
      <c r="C19" s="51">
        <f t="shared" si="0"/>
        <v>10309300</v>
      </c>
      <c r="D19" s="26">
        <v>10309300</v>
      </c>
      <c r="E19" s="26"/>
      <c r="F19" s="26"/>
    </row>
    <row r="20" spans="1:6" ht="46.5">
      <c r="A20" s="50">
        <v>11010400</v>
      </c>
      <c r="B20" s="42" t="s">
        <v>295</v>
      </c>
      <c r="C20" s="51">
        <f t="shared" si="0"/>
        <v>17409850</v>
      </c>
      <c r="D20" s="26">
        <v>17409850</v>
      </c>
      <c r="E20" s="26"/>
      <c r="F20" s="26"/>
    </row>
    <row r="21" spans="1:6" ht="40.5" customHeight="1">
      <c r="A21" s="50">
        <v>11010500</v>
      </c>
      <c r="B21" s="42" t="s">
        <v>296</v>
      </c>
      <c r="C21" s="51">
        <f t="shared" si="0"/>
        <v>847750</v>
      </c>
      <c r="D21" s="26">
        <v>847750</v>
      </c>
      <c r="E21" s="26"/>
      <c r="F21" s="26"/>
    </row>
    <row r="22" spans="1:6" ht="26.25" customHeight="1">
      <c r="A22" s="24">
        <v>11020000</v>
      </c>
      <c r="B22" s="41" t="s">
        <v>82</v>
      </c>
      <c r="C22" s="62">
        <f t="shared" si="0"/>
        <v>5000</v>
      </c>
      <c r="D22" s="25">
        <f>SUM(D23)</f>
        <v>5000</v>
      </c>
      <c r="E22" s="25">
        <f>SUM(E23)</f>
        <v>0</v>
      </c>
      <c r="F22" s="25">
        <f>SUM(F23)</f>
        <v>0</v>
      </c>
    </row>
    <row r="23" spans="1:6" ht="40.5" customHeight="1">
      <c r="A23" s="50">
        <v>11020200</v>
      </c>
      <c r="B23" s="42" t="s">
        <v>83</v>
      </c>
      <c r="C23" s="51">
        <f t="shared" si="0"/>
        <v>5000</v>
      </c>
      <c r="D23" s="26">
        <v>5000</v>
      </c>
      <c r="E23" s="26"/>
      <c r="F23" s="26"/>
    </row>
    <row r="24" spans="1:6" s="28" customFormat="1" ht="30.75">
      <c r="A24" s="24">
        <v>13000000</v>
      </c>
      <c r="B24" s="41" t="s">
        <v>297</v>
      </c>
      <c r="C24" s="49">
        <f t="shared" si="0"/>
        <v>429900</v>
      </c>
      <c r="D24" s="25">
        <f>D25+D30+D28+D32</f>
        <v>429900</v>
      </c>
      <c r="E24" s="25">
        <f>E25+E30</f>
        <v>0</v>
      </c>
      <c r="F24" s="25">
        <f>F25+F30</f>
        <v>0</v>
      </c>
    </row>
    <row r="25" spans="1:6" s="28" customFormat="1" ht="30.75">
      <c r="A25" s="24">
        <v>13010000</v>
      </c>
      <c r="B25" s="41" t="s">
        <v>298</v>
      </c>
      <c r="C25" s="49">
        <f t="shared" si="0"/>
        <v>385350</v>
      </c>
      <c r="D25" s="25">
        <f>SUM(D26:D27)</f>
        <v>385350</v>
      </c>
      <c r="E25" s="25">
        <f>SUM(E26:E27)</f>
        <v>0</v>
      </c>
      <c r="F25" s="25">
        <f>SUM(F26:F27)</f>
        <v>0</v>
      </c>
    </row>
    <row r="26" spans="1:6" ht="51" customHeight="1">
      <c r="A26" s="50">
        <v>13010100</v>
      </c>
      <c r="B26" s="42" t="s">
        <v>299</v>
      </c>
      <c r="C26" s="51">
        <f t="shared" si="0"/>
        <v>127150</v>
      </c>
      <c r="D26" s="26">
        <v>127150</v>
      </c>
      <c r="E26" s="26"/>
      <c r="F26" s="26"/>
    </row>
    <row r="27" spans="1:6" s="28" customFormat="1" ht="62.25">
      <c r="A27" s="50">
        <v>13010200</v>
      </c>
      <c r="B27" s="42" t="s">
        <v>300</v>
      </c>
      <c r="C27" s="51">
        <f aca="true" t="shared" si="1" ref="C27:C71">SUM(D27:E27)</f>
        <v>258200</v>
      </c>
      <c r="D27" s="26">
        <v>258200</v>
      </c>
      <c r="E27" s="26"/>
      <c r="F27" s="26"/>
    </row>
    <row r="28" spans="1:6" s="28" customFormat="1" ht="15" hidden="1">
      <c r="A28" s="24">
        <v>13020000</v>
      </c>
      <c r="B28" s="41" t="s">
        <v>173</v>
      </c>
      <c r="C28" s="49">
        <f>SUM(D28:E28)</f>
        <v>0</v>
      </c>
      <c r="D28" s="25">
        <f>SUM(D29)</f>
        <v>0</v>
      </c>
      <c r="E28" s="25">
        <f>SUM(E29)</f>
        <v>0</v>
      </c>
      <c r="F28" s="25">
        <f>SUM(F29)</f>
        <v>0</v>
      </c>
    </row>
    <row r="29" spans="1:6" s="28" customFormat="1" ht="30.75" hidden="1">
      <c r="A29" s="50">
        <v>13020200</v>
      </c>
      <c r="B29" s="42" t="s">
        <v>174</v>
      </c>
      <c r="C29" s="51">
        <f>SUM(D29:E29)</f>
        <v>0</v>
      </c>
      <c r="D29" s="26"/>
      <c r="E29" s="26"/>
      <c r="F29" s="26"/>
    </row>
    <row r="30" spans="1:6" s="28" customFormat="1" ht="30.75">
      <c r="A30" s="24">
        <v>13030000</v>
      </c>
      <c r="B30" s="41" t="s">
        <v>175</v>
      </c>
      <c r="C30" s="49">
        <f t="shared" si="1"/>
        <v>14800</v>
      </c>
      <c r="D30" s="25">
        <f>SUM(D31)</f>
        <v>14800</v>
      </c>
      <c r="E30" s="25">
        <f>SUM(E31)</f>
        <v>0</v>
      </c>
      <c r="F30" s="25">
        <f>SUM(F31)</f>
        <v>0</v>
      </c>
    </row>
    <row r="31" spans="1:6" s="28" customFormat="1" ht="30.75">
      <c r="A31" s="50">
        <v>13030100</v>
      </c>
      <c r="B31" s="42" t="s">
        <v>301</v>
      </c>
      <c r="C31" s="51">
        <f t="shared" si="1"/>
        <v>14800</v>
      </c>
      <c r="D31" s="26">
        <v>14800</v>
      </c>
      <c r="E31" s="26"/>
      <c r="F31" s="26"/>
    </row>
    <row r="32" spans="1:6" s="28" customFormat="1" ht="30.75">
      <c r="A32" s="24">
        <v>13040000</v>
      </c>
      <c r="B32" s="41" t="s">
        <v>176</v>
      </c>
      <c r="C32" s="49">
        <f>SUM(D32:E32)</f>
        <v>29750</v>
      </c>
      <c r="D32" s="25">
        <f>SUM(D33)</f>
        <v>29750</v>
      </c>
      <c r="E32" s="25">
        <f>SUM(E33)</f>
        <v>0</v>
      </c>
      <c r="F32" s="25">
        <f>SUM(F33)</f>
        <v>0</v>
      </c>
    </row>
    <row r="33" spans="1:6" s="28" customFormat="1" ht="30.75">
      <c r="A33" s="50">
        <v>13040100</v>
      </c>
      <c r="B33" s="42" t="s">
        <v>177</v>
      </c>
      <c r="C33" s="51">
        <f>SUM(D33:E33)</f>
        <v>29750</v>
      </c>
      <c r="D33" s="26">
        <v>29750</v>
      </c>
      <c r="E33" s="26"/>
      <c r="F33" s="26"/>
    </row>
    <row r="34" spans="1:6" s="28" customFormat="1" ht="15">
      <c r="A34" s="24">
        <v>14000000</v>
      </c>
      <c r="B34" s="41" t="s">
        <v>302</v>
      </c>
      <c r="C34" s="49">
        <f t="shared" si="1"/>
        <v>6306000</v>
      </c>
      <c r="D34" s="25">
        <f>D35+D37+D39</f>
        <v>6306000</v>
      </c>
      <c r="E34" s="25">
        <f>E35+E37+E39</f>
        <v>0</v>
      </c>
      <c r="F34" s="25">
        <f>F35+F37+F39</f>
        <v>0</v>
      </c>
    </row>
    <row r="35" spans="1:6" s="28" customFormat="1" ht="30.75">
      <c r="A35" s="24">
        <v>14020000</v>
      </c>
      <c r="B35" s="41" t="s">
        <v>303</v>
      </c>
      <c r="C35" s="49">
        <f t="shared" si="1"/>
        <v>241300</v>
      </c>
      <c r="D35" s="25">
        <f>SUM(D36)</f>
        <v>241300</v>
      </c>
      <c r="E35" s="25">
        <f>SUM(E36)</f>
        <v>0</v>
      </c>
      <c r="F35" s="25">
        <f>SUM(F36)</f>
        <v>0</v>
      </c>
    </row>
    <row r="36" spans="1:6" s="28" customFormat="1" ht="15">
      <c r="A36" s="50">
        <v>14021900</v>
      </c>
      <c r="B36" s="42" t="s">
        <v>304</v>
      </c>
      <c r="C36" s="51">
        <f t="shared" si="1"/>
        <v>241300</v>
      </c>
      <c r="D36" s="26">
        <v>241300</v>
      </c>
      <c r="E36" s="26"/>
      <c r="F36" s="26"/>
    </row>
    <row r="37" spans="1:6" s="28" customFormat="1" ht="30.75">
      <c r="A37" s="24">
        <v>14030000</v>
      </c>
      <c r="B37" s="41" t="s">
        <v>305</v>
      </c>
      <c r="C37" s="49">
        <f t="shared" si="1"/>
        <v>3169300</v>
      </c>
      <c r="D37" s="25">
        <f>SUM(D38)</f>
        <v>3169300</v>
      </c>
      <c r="E37" s="25">
        <f>SUM(E38)</f>
        <v>0</v>
      </c>
      <c r="F37" s="25">
        <f>SUM(F38)</f>
        <v>0</v>
      </c>
    </row>
    <row r="38" spans="1:6" s="28" customFormat="1" ht="15">
      <c r="A38" s="50">
        <v>14031900</v>
      </c>
      <c r="B38" s="42" t="s">
        <v>304</v>
      </c>
      <c r="C38" s="51">
        <f t="shared" si="1"/>
        <v>3169300</v>
      </c>
      <c r="D38" s="26">
        <v>3169300</v>
      </c>
      <c r="E38" s="26"/>
      <c r="F38" s="26"/>
    </row>
    <row r="39" spans="1:6" s="28" customFormat="1" ht="46.5">
      <c r="A39" s="24">
        <v>14040000</v>
      </c>
      <c r="B39" s="41" t="s">
        <v>220</v>
      </c>
      <c r="C39" s="49">
        <f t="shared" si="1"/>
        <v>2895400</v>
      </c>
      <c r="D39" s="25">
        <f>SUM(D40:D41)</f>
        <v>2895400</v>
      </c>
      <c r="E39" s="25">
        <f>SUM(E40:E41)</f>
        <v>0</v>
      </c>
      <c r="F39" s="25">
        <f>SUM(F40:F41)</f>
        <v>0</v>
      </c>
    </row>
    <row r="40" spans="1:6" s="28" customFormat="1" ht="108.75">
      <c r="A40" s="50">
        <v>14040100</v>
      </c>
      <c r="B40" s="42" t="s">
        <v>221</v>
      </c>
      <c r="C40" s="51">
        <f>SUM(D40:E40)</f>
        <v>1180700</v>
      </c>
      <c r="D40" s="26">
        <v>1180700</v>
      </c>
      <c r="E40" s="26"/>
      <c r="F40" s="26"/>
    </row>
    <row r="41" spans="1:6" s="28" customFormat="1" ht="71.25" customHeight="1">
      <c r="A41" s="50">
        <v>14040200</v>
      </c>
      <c r="B41" s="42" t="s">
        <v>222</v>
      </c>
      <c r="C41" s="51">
        <f>SUM(D41:E41)</f>
        <v>1714700</v>
      </c>
      <c r="D41" s="26">
        <v>1714700</v>
      </c>
      <c r="E41" s="26"/>
      <c r="F41" s="26"/>
    </row>
    <row r="42" spans="1:6" s="28" customFormat="1" ht="46.5">
      <c r="A42" s="24">
        <v>18000000</v>
      </c>
      <c r="B42" s="41" t="s">
        <v>198</v>
      </c>
      <c r="C42" s="49">
        <f t="shared" si="1"/>
        <v>50840750</v>
      </c>
      <c r="D42" s="25">
        <f>D43+D54+D56</f>
        <v>50840750</v>
      </c>
      <c r="E42" s="25">
        <f>SUM(E43)</f>
        <v>0</v>
      </c>
      <c r="F42" s="25">
        <f>SUM(F43)</f>
        <v>0</v>
      </c>
    </row>
    <row r="43" spans="1:6" s="28" customFormat="1" ht="15">
      <c r="A43" s="24">
        <v>18010000</v>
      </c>
      <c r="B43" s="41" t="s">
        <v>306</v>
      </c>
      <c r="C43" s="49">
        <f t="shared" si="1"/>
        <v>18624650</v>
      </c>
      <c r="D43" s="25">
        <f>SUM(D44:D53)</f>
        <v>18624650</v>
      </c>
      <c r="E43" s="25">
        <f>SUM(E44:E53)</f>
        <v>0</v>
      </c>
      <c r="F43" s="25">
        <f>SUM(F44:F53)</f>
        <v>0</v>
      </c>
    </row>
    <row r="44" spans="1:6" s="28" customFormat="1" ht="46.5">
      <c r="A44" s="50">
        <v>18010100</v>
      </c>
      <c r="B44" s="42" t="s">
        <v>307</v>
      </c>
      <c r="C44" s="51">
        <f t="shared" si="1"/>
        <v>60550</v>
      </c>
      <c r="D44" s="26">
        <v>60550</v>
      </c>
      <c r="E44" s="26"/>
      <c r="F44" s="26"/>
    </row>
    <row r="45" spans="1:6" s="28" customFormat="1" ht="46.5">
      <c r="A45" s="50">
        <v>18010200</v>
      </c>
      <c r="B45" s="42" t="s">
        <v>308</v>
      </c>
      <c r="C45" s="51">
        <f t="shared" si="1"/>
        <v>131050</v>
      </c>
      <c r="D45" s="26">
        <v>131050</v>
      </c>
      <c r="E45" s="26"/>
      <c r="F45" s="26"/>
    </row>
    <row r="46" spans="1:6" s="28" customFormat="1" ht="46.5">
      <c r="A46" s="50">
        <v>18010300</v>
      </c>
      <c r="B46" s="42" t="s">
        <v>309</v>
      </c>
      <c r="C46" s="51">
        <f t="shared" si="1"/>
        <v>1346350</v>
      </c>
      <c r="D46" s="26">
        <v>1346350</v>
      </c>
      <c r="E46" s="26"/>
      <c r="F46" s="26"/>
    </row>
    <row r="47" spans="1:6" s="28" customFormat="1" ht="46.5">
      <c r="A47" s="50">
        <v>18010400</v>
      </c>
      <c r="B47" s="42" t="s">
        <v>310</v>
      </c>
      <c r="C47" s="51">
        <f t="shared" si="1"/>
        <v>1457450</v>
      </c>
      <c r="D47" s="26">
        <v>1457450</v>
      </c>
      <c r="E47" s="26"/>
      <c r="F47" s="26"/>
    </row>
    <row r="48" spans="1:6" s="28" customFormat="1" ht="15">
      <c r="A48" s="50">
        <v>18010500</v>
      </c>
      <c r="B48" s="42" t="s">
        <v>311</v>
      </c>
      <c r="C48" s="51">
        <f t="shared" si="1"/>
        <v>1496500</v>
      </c>
      <c r="D48" s="26">
        <v>1496500</v>
      </c>
      <c r="E48" s="26"/>
      <c r="F48" s="26"/>
    </row>
    <row r="49" spans="1:6" s="28" customFormat="1" ht="15">
      <c r="A49" s="50">
        <v>18010600</v>
      </c>
      <c r="B49" s="42" t="s">
        <v>312</v>
      </c>
      <c r="C49" s="51">
        <f t="shared" si="1"/>
        <v>7052400</v>
      </c>
      <c r="D49" s="26">
        <v>7052400</v>
      </c>
      <c r="E49" s="26"/>
      <c r="F49" s="26"/>
    </row>
    <row r="50" spans="1:6" s="28" customFormat="1" ht="15">
      <c r="A50" s="50">
        <v>18010700</v>
      </c>
      <c r="B50" s="42" t="s">
        <v>313</v>
      </c>
      <c r="C50" s="51">
        <f t="shared" si="1"/>
        <v>2316950</v>
      </c>
      <c r="D50" s="26">
        <v>2316950</v>
      </c>
      <c r="E50" s="26"/>
      <c r="F50" s="26"/>
    </row>
    <row r="51" spans="1:6" s="28" customFormat="1" ht="15">
      <c r="A51" s="50">
        <v>18010900</v>
      </c>
      <c r="B51" s="42" t="s">
        <v>314</v>
      </c>
      <c r="C51" s="51">
        <f t="shared" si="1"/>
        <v>4714650</v>
      </c>
      <c r="D51" s="26">
        <v>4714650</v>
      </c>
      <c r="E51" s="26"/>
      <c r="F51" s="26"/>
    </row>
    <row r="52" spans="1:6" s="28" customFormat="1" ht="15">
      <c r="A52" s="50">
        <v>18011000</v>
      </c>
      <c r="B52" s="42" t="s">
        <v>240</v>
      </c>
      <c r="C52" s="51">
        <f>SUM(D52:E52)</f>
        <v>2000</v>
      </c>
      <c r="D52" s="26">
        <v>2000</v>
      </c>
      <c r="E52" s="26"/>
      <c r="F52" s="26"/>
    </row>
    <row r="53" spans="1:6" s="28" customFormat="1" ht="15">
      <c r="A53" s="50">
        <v>18011100</v>
      </c>
      <c r="B53" s="42" t="s">
        <v>315</v>
      </c>
      <c r="C53" s="51">
        <f t="shared" si="1"/>
        <v>46750</v>
      </c>
      <c r="D53" s="26">
        <v>46750</v>
      </c>
      <c r="E53" s="26"/>
      <c r="F53" s="26"/>
    </row>
    <row r="54" spans="1:6" s="28" customFormat="1" ht="15">
      <c r="A54" s="24">
        <v>18030000</v>
      </c>
      <c r="B54" s="41" t="s">
        <v>316</v>
      </c>
      <c r="C54" s="49">
        <f t="shared" si="1"/>
        <v>1300</v>
      </c>
      <c r="D54" s="25">
        <f>SUM(D55)</f>
        <v>1300</v>
      </c>
      <c r="E54" s="25">
        <f>SUM(E55)</f>
        <v>0</v>
      </c>
      <c r="F54" s="25">
        <f>SUM(F55)</f>
        <v>0</v>
      </c>
    </row>
    <row r="55" spans="1:6" s="28" customFormat="1" ht="15">
      <c r="A55" s="50">
        <v>18030200</v>
      </c>
      <c r="B55" s="42" t="s">
        <v>317</v>
      </c>
      <c r="C55" s="51">
        <f t="shared" si="1"/>
        <v>1300</v>
      </c>
      <c r="D55" s="26">
        <v>1300</v>
      </c>
      <c r="E55" s="26"/>
      <c r="F55" s="26"/>
    </row>
    <row r="56" spans="1:6" s="28" customFormat="1" ht="15">
      <c r="A56" s="24">
        <v>18050000</v>
      </c>
      <c r="B56" s="41" t="s">
        <v>318</v>
      </c>
      <c r="C56" s="49">
        <f t="shared" si="1"/>
        <v>32214800</v>
      </c>
      <c r="D56" s="25">
        <f>SUM(D57:D59)</f>
        <v>32214800</v>
      </c>
      <c r="E56" s="25">
        <f>SUM(E57:E59)</f>
        <v>0</v>
      </c>
      <c r="F56" s="25">
        <f>SUM(F57:F59)</f>
        <v>0</v>
      </c>
    </row>
    <row r="57" spans="1:6" s="28" customFormat="1" ht="15">
      <c r="A57" s="50">
        <v>18050300</v>
      </c>
      <c r="B57" s="42" t="s">
        <v>319</v>
      </c>
      <c r="C57" s="51">
        <f t="shared" si="1"/>
        <v>1765500</v>
      </c>
      <c r="D57" s="26">
        <v>1765500</v>
      </c>
      <c r="E57" s="26"/>
      <c r="F57" s="26"/>
    </row>
    <row r="58" spans="1:6" s="28" customFormat="1" ht="15">
      <c r="A58" s="50">
        <v>18050400</v>
      </c>
      <c r="B58" s="42" t="s">
        <v>320</v>
      </c>
      <c r="C58" s="51">
        <f t="shared" si="1"/>
        <v>17120150</v>
      </c>
      <c r="D58" s="26">
        <v>17120150</v>
      </c>
      <c r="E58" s="26"/>
      <c r="F58" s="26"/>
    </row>
    <row r="59" spans="1:6" s="28" customFormat="1" ht="62.25">
      <c r="A59" s="50">
        <v>18050500</v>
      </c>
      <c r="B59" s="42" t="s">
        <v>321</v>
      </c>
      <c r="C59" s="51">
        <f t="shared" si="1"/>
        <v>13329150</v>
      </c>
      <c r="D59" s="26">
        <v>13329150</v>
      </c>
      <c r="E59" s="26"/>
      <c r="F59" s="26"/>
    </row>
    <row r="60" spans="1:6" s="28" customFormat="1" ht="15">
      <c r="A60" s="24">
        <v>19000000</v>
      </c>
      <c r="B60" s="41" t="s">
        <v>322</v>
      </c>
      <c r="C60" s="49">
        <f t="shared" si="1"/>
        <v>132090</v>
      </c>
      <c r="D60" s="25">
        <f>D61</f>
        <v>0</v>
      </c>
      <c r="E60" s="25">
        <f>E61</f>
        <v>132090</v>
      </c>
      <c r="F60" s="25">
        <f>F61</f>
        <v>0</v>
      </c>
    </row>
    <row r="61" spans="1:6" s="28" customFormat="1" ht="15">
      <c r="A61" s="24">
        <v>19010000</v>
      </c>
      <c r="B61" s="41" t="s">
        <v>323</v>
      </c>
      <c r="C61" s="49">
        <f t="shared" si="1"/>
        <v>132090</v>
      </c>
      <c r="D61" s="25">
        <f>SUM(D62:D64)</f>
        <v>0</v>
      </c>
      <c r="E61" s="25">
        <f>SUM(E62:E64)</f>
        <v>132090</v>
      </c>
      <c r="F61" s="25">
        <f>SUM(F62:F64)</f>
        <v>0</v>
      </c>
    </row>
    <row r="62" spans="1:6" s="28" customFormat="1" ht="62.25">
      <c r="A62" s="50">
        <v>19010100</v>
      </c>
      <c r="B62" s="42" t="s">
        <v>324</v>
      </c>
      <c r="C62" s="51">
        <f t="shared" si="1"/>
        <v>39410</v>
      </c>
      <c r="D62" s="26"/>
      <c r="E62" s="26">
        <v>39410</v>
      </c>
      <c r="F62" s="26"/>
    </row>
    <row r="63" spans="1:6" s="28" customFormat="1" ht="30.75">
      <c r="A63" s="50">
        <v>19010200</v>
      </c>
      <c r="B63" s="42" t="s">
        <v>161</v>
      </c>
      <c r="C63" s="51">
        <f t="shared" si="1"/>
        <v>4860</v>
      </c>
      <c r="D63" s="26"/>
      <c r="E63" s="26">
        <v>4860</v>
      </c>
      <c r="F63" s="26"/>
    </row>
    <row r="64" spans="1:6" ht="51" customHeight="1">
      <c r="A64" s="50">
        <v>19010300</v>
      </c>
      <c r="B64" s="42" t="s">
        <v>325</v>
      </c>
      <c r="C64" s="51">
        <f t="shared" si="1"/>
        <v>87820</v>
      </c>
      <c r="D64" s="26"/>
      <c r="E64" s="26">
        <v>87820</v>
      </c>
      <c r="F64" s="26"/>
    </row>
    <row r="65" spans="1:6" ht="15">
      <c r="A65" s="24">
        <v>20000000</v>
      </c>
      <c r="B65" s="41" t="s">
        <v>326</v>
      </c>
      <c r="C65" s="49">
        <f t="shared" si="1"/>
        <v>6337710</v>
      </c>
      <c r="D65" s="25">
        <f>D66+D72+D82+D87</f>
        <v>1801600</v>
      </c>
      <c r="E65" s="25">
        <f>E66+E72+E82+E87</f>
        <v>4536110</v>
      </c>
      <c r="F65" s="25">
        <f>F66+F72+F82+F87</f>
        <v>0</v>
      </c>
    </row>
    <row r="66" spans="1:6" ht="15">
      <c r="A66" s="24">
        <v>21000000</v>
      </c>
      <c r="B66" s="41" t="s">
        <v>327</v>
      </c>
      <c r="C66" s="49">
        <f t="shared" si="1"/>
        <v>105750</v>
      </c>
      <c r="D66" s="25">
        <f>D69+D67</f>
        <v>105750</v>
      </c>
      <c r="E66" s="25">
        <f>E69</f>
        <v>0</v>
      </c>
      <c r="F66" s="25">
        <f>F69</f>
        <v>0</v>
      </c>
    </row>
    <row r="67" spans="1:6" ht="93" hidden="1">
      <c r="A67" s="24">
        <v>21010000</v>
      </c>
      <c r="B67" s="41" t="s">
        <v>178</v>
      </c>
      <c r="C67" s="49">
        <f>SUM(D67:E67)</f>
        <v>0</v>
      </c>
      <c r="D67" s="25">
        <f>SUM(D68)</f>
        <v>0</v>
      </c>
      <c r="E67" s="25">
        <f>SUM(E68:E69)</f>
        <v>0</v>
      </c>
      <c r="F67" s="25">
        <f>SUM(F68:F69)</f>
        <v>0</v>
      </c>
    </row>
    <row r="68" spans="1:6" ht="46.5" hidden="1">
      <c r="A68" s="50">
        <v>21010300</v>
      </c>
      <c r="B68" s="42" t="s">
        <v>179</v>
      </c>
      <c r="C68" s="51">
        <f>SUM(D68:E68)</f>
        <v>0</v>
      </c>
      <c r="D68" s="26"/>
      <c r="E68" s="26"/>
      <c r="F68" s="26"/>
    </row>
    <row r="69" spans="1:6" ht="15">
      <c r="A69" s="24">
        <v>21080000</v>
      </c>
      <c r="B69" s="41" t="s">
        <v>328</v>
      </c>
      <c r="C69" s="49">
        <f t="shared" si="1"/>
        <v>105750</v>
      </c>
      <c r="D69" s="25">
        <f>SUM(D70:D71)</f>
        <v>105750</v>
      </c>
      <c r="E69" s="25">
        <f>SUM(E70:E71)</f>
        <v>0</v>
      </c>
      <c r="F69" s="25">
        <f>SUM(F70:F71)</f>
        <v>0</v>
      </c>
    </row>
    <row r="70" spans="1:6" ht="15">
      <c r="A70" s="50">
        <v>21081100</v>
      </c>
      <c r="B70" s="42" t="s">
        <v>329</v>
      </c>
      <c r="C70" s="51">
        <f t="shared" si="1"/>
        <v>86550</v>
      </c>
      <c r="D70" s="26">
        <v>86550</v>
      </c>
      <c r="E70" s="26"/>
      <c r="F70" s="26"/>
    </row>
    <row r="71" spans="1:6" ht="81.75" customHeight="1">
      <c r="A71" s="50">
        <v>21081500</v>
      </c>
      <c r="B71" s="42" t="s">
        <v>265</v>
      </c>
      <c r="C71" s="51">
        <f t="shared" si="1"/>
        <v>19200</v>
      </c>
      <c r="D71" s="26">
        <v>19200</v>
      </c>
      <c r="E71" s="26"/>
      <c r="F71" s="26"/>
    </row>
    <row r="72" spans="1:6" ht="30.75">
      <c r="A72" s="24">
        <v>22000000</v>
      </c>
      <c r="B72" s="41" t="s">
        <v>330</v>
      </c>
      <c r="C72" s="49">
        <f aca="true" t="shared" si="2" ref="C72:C98">SUM(D72:E72)</f>
        <v>1631450</v>
      </c>
      <c r="D72" s="25">
        <f>D73+D77+D81</f>
        <v>1631450</v>
      </c>
      <c r="E72" s="25">
        <f>E73+E77+E81</f>
        <v>0</v>
      </c>
      <c r="F72" s="25">
        <f>F73+F77+F81</f>
        <v>0</v>
      </c>
    </row>
    <row r="73" spans="1:6" ht="15">
      <c r="A73" s="24">
        <v>22010000</v>
      </c>
      <c r="B73" s="41" t="s">
        <v>331</v>
      </c>
      <c r="C73" s="49">
        <f t="shared" si="2"/>
        <v>1438250</v>
      </c>
      <c r="D73" s="25">
        <f>SUM(D74:D76)</f>
        <v>1438250</v>
      </c>
      <c r="E73" s="25">
        <f>SUM(E74:E76)</f>
        <v>0</v>
      </c>
      <c r="F73" s="25">
        <f>SUM(F74:F76)</f>
        <v>0</v>
      </c>
    </row>
    <row r="74" spans="1:6" ht="46.5">
      <c r="A74" s="50">
        <v>22010300</v>
      </c>
      <c r="B74" s="42" t="s">
        <v>332</v>
      </c>
      <c r="C74" s="51">
        <f t="shared" si="2"/>
        <v>51950</v>
      </c>
      <c r="D74" s="26">
        <v>51950</v>
      </c>
      <c r="E74" s="26"/>
      <c r="F74" s="26"/>
    </row>
    <row r="75" spans="1:6" ht="15">
      <c r="A75" s="50">
        <v>22012500</v>
      </c>
      <c r="B75" s="42" t="s">
        <v>333</v>
      </c>
      <c r="C75" s="51">
        <f t="shared" si="2"/>
        <v>1110900</v>
      </c>
      <c r="D75" s="26">
        <v>1110900</v>
      </c>
      <c r="E75" s="26"/>
      <c r="F75" s="26"/>
    </row>
    <row r="76" spans="1:6" ht="33" customHeight="1">
      <c r="A76" s="50">
        <v>22012600</v>
      </c>
      <c r="B76" s="42" t="s">
        <v>334</v>
      </c>
      <c r="C76" s="51">
        <f t="shared" si="2"/>
        <v>275400</v>
      </c>
      <c r="D76" s="26">
        <v>275400</v>
      </c>
      <c r="E76" s="26"/>
      <c r="F76" s="26"/>
    </row>
    <row r="77" spans="1:6" ht="15">
      <c r="A77" s="24">
        <v>22090000</v>
      </c>
      <c r="B77" s="41" t="s">
        <v>335</v>
      </c>
      <c r="C77" s="49">
        <f t="shared" si="2"/>
        <v>179800</v>
      </c>
      <c r="D77" s="25">
        <f>SUM(D78:D80)</f>
        <v>179800</v>
      </c>
      <c r="E77" s="25">
        <f>SUM(E78:E80)</f>
        <v>0</v>
      </c>
      <c r="F77" s="25">
        <f>SUM(F78:F80)</f>
        <v>0</v>
      </c>
    </row>
    <row r="78" spans="1:6" ht="46.5">
      <c r="A78" s="50">
        <v>22090100</v>
      </c>
      <c r="B78" s="42" t="s">
        <v>336</v>
      </c>
      <c r="C78" s="51">
        <f t="shared" si="2"/>
        <v>163650</v>
      </c>
      <c r="D78" s="26">
        <v>163650</v>
      </c>
      <c r="E78" s="26"/>
      <c r="F78" s="26"/>
    </row>
    <row r="79" spans="1:6" ht="15" hidden="1">
      <c r="A79" s="50">
        <v>22090200</v>
      </c>
      <c r="B79" s="42" t="s">
        <v>180</v>
      </c>
      <c r="C79" s="51">
        <f>SUM(D79:E79)</f>
        <v>0</v>
      </c>
      <c r="D79" s="26"/>
      <c r="E79" s="26"/>
      <c r="F79" s="26"/>
    </row>
    <row r="80" spans="1:6" ht="46.5">
      <c r="A80" s="50">
        <v>22090400</v>
      </c>
      <c r="B80" s="42" t="s">
        <v>337</v>
      </c>
      <c r="C80" s="51">
        <f t="shared" si="2"/>
        <v>16150</v>
      </c>
      <c r="D80" s="26">
        <v>16150</v>
      </c>
      <c r="E80" s="26"/>
      <c r="F80" s="26"/>
    </row>
    <row r="81" spans="1:6" s="28" customFormat="1" ht="85.5" customHeight="1">
      <c r="A81" s="24">
        <v>22130000</v>
      </c>
      <c r="B81" s="41" t="s">
        <v>338</v>
      </c>
      <c r="C81" s="49">
        <f t="shared" si="2"/>
        <v>13400</v>
      </c>
      <c r="D81" s="25">
        <v>13400</v>
      </c>
      <c r="E81" s="25"/>
      <c r="F81" s="25"/>
    </row>
    <row r="82" spans="1:6" ht="15">
      <c r="A82" s="24">
        <v>24000000</v>
      </c>
      <c r="B82" s="41" t="s">
        <v>339</v>
      </c>
      <c r="C82" s="49">
        <f t="shared" si="2"/>
        <v>77310</v>
      </c>
      <c r="D82" s="25">
        <f>D83</f>
        <v>64400</v>
      </c>
      <c r="E82" s="25">
        <f>E83</f>
        <v>12910</v>
      </c>
      <c r="F82" s="25">
        <f>F83</f>
        <v>0</v>
      </c>
    </row>
    <row r="83" spans="1:6" ht="15">
      <c r="A83" s="24">
        <v>24060000</v>
      </c>
      <c r="B83" s="41" t="s">
        <v>340</v>
      </c>
      <c r="C83" s="49">
        <f t="shared" si="2"/>
        <v>77310</v>
      </c>
      <c r="D83" s="25">
        <f>SUM(D84:D86)</f>
        <v>64400</v>
      </c>
      <c r="E83" s="25">
        <f>SUM(E84:E86)</f>
        <v>12910</v>
      </c>
      <c r="F83" s="25">
        <f>SUM(F84:F86)</f>
        <v>0</v>
      </c>
    </row>
    <row r="84" spans="1:6" ht="15">
      <c r="A84" s="50">
        <v>24060300</v>
      </c>
      <c r="B84" s="42" t="s">
        <v>340</v>
      </c>
      <c r="C84" s="51">
        <f>SUM(D84:E84)</f>
        <v>64400</v>
      </c>
      <c r="D84" s="26">
        <v>64400</v>
      </c>
      <c r="E84" s="26"/>
      <c r="F84" s="26"/>
    </row>
    <row r="85" spans="1:6" ht="46.5">
      <c r="A85" s="50">
        <v>24062100</v>
      </c>
      <c r="B85" s="42" t="s">
        <v>162</v>
      </c>
      <c r="C85" s="51">
        <f t="shared" si="2"/>
        <v>12910</v>
      </c>
      <c r="D85" s="26"/>
      <c r="E85" s="26">
        <v>12910</v>
      </c>
      <c r="F85" s="26"/>
    </row>
    <row r="86" spans="1:6" ht="140.25" hidden="1">
      <c r="A86" s="50">
        <v>24062200</v>
      </c>
      <c r="B86" s="42" t="s">
        <v>181</v>
      </c>
      <c r="C86" s="51">
        <f>SUM(D86:E86)</f>
        <v>0</v>
      </c>
      <c r="D86" s="26"/>
      <c r="E86" s="26"/>
      <c r="F86" s="26"/>
    </row>
    <row r="87" spans="1:6" ht="15">
      <c r="A87" s="24">
        <v>25000000</v>
      </c>
      <c r="B87" s="41" t="s">
        <v>341</v>
      </c>
      <c r="C87" s="49">
        <f t="shared" si="2"/>
        <v>4523200</v>
      </c>
      <c r="D87" s="25">
        <f>D88</f>
        <v>0</v>
      </c>
      <c r="E87" s="25">
        <f>E88</f>
        <v>4523200</v>
      </c>
      <c r="F87" s="25">
        <f>F88</f>
        <v>0</v>
      </c>
    </row>
    <row r="88" spans="1:6" ht="30.75">
      <c r="A88" s="24">
        <v>25010000</v>
      </c>
      <c r="B88" s="41" t="s">
        <v>342</v>
      </c>
      <c r="C88" s="49">
        <f t="shared" si="2"/>
        <v>4523200</v>
      </c>
      <c r="D88" s="25">
        <f>SUM(D89:D90)</f>
        <v>0</v>
      </c>
      <c r="E88" s="25">
        <f>SUM(E89:E90)</f>
        <v>4523200</v>
      </c>
      <c r="F88" s="25">
        <f>SUM(F89:F90)</f>
        <v>0</v>
      </c>
    </row>
    <row r="89" spans="1:6" ht="30.75">
      <c r="A89" s="50">
        <v>25010100</v>
      </c>
      <c r="B89" s="42" t="s">
        <v>343</v>
      </c>
      <c r="C89" s="51">
        <f t="shared" si="2"/>
        <v>3903600</v>
      </c>
      <c r="D89" s="26"/>
      <c r="E89" s="26">
        <v>3903600</v>
      </c>
      <c r="F89" s="26"/>
    </row>
    <row r="90" spans="1:6" ht="43.5" customHeight="1">
      <c r="A90" s="27">
        <v>25010300</v>
      </c>
      <c r="B90" s="52" t="s">
        <v>344</v>
      </c>
      <c r="C90" s="51">
        <f t="shared" si="2"/>
        <v>619600</v>
      </c>
      <c r="D90" s="26"/>
      <c r="E90" s="26">
        <v>619600</v>
      </c>
      <c r="F90" s="26"/>
    </row>
    <row r="91" spans="1:6" ht="15">
      <c r="A91" s="24">
        <v>30000000</v>
      </c>
      <c r="B91" s="41" t="s">
        <v>345</v>
      </c>
      <c r="C91" s="49">
        <f t="shared" si="2"/>
        <v>276836</v>
      </c>
      <c r="D91" s="25">
        <f>D92+D96</f>
        <v>0</v>
      </c>
      <c r="E91" s="25">
        <f>E92+E96</f>
        <v>276836</v>
      </c>
      <c r="F91" s="25">
        <f>F92+F96</f>
        <v>276836</v>
      </c>
    </row>
    <row r="92" spans="1:6" ht="15" hidden="1">
      <c r="A92" s="24">
        <v>31000000</v>
      </c>
      <c r="B92" s="41" t="s">
        <v>346</v>
      </c>
      <c r="C92" s="49">
        <f t="shared" si="2"/>
        <v>0</v>
      </c>
      <c r="D92" s="25">
        <f>D93+D95</f>
        <v>0</v>
      </c>
      <c r="E92" s="25">
        <f>E93+E95</f>
        <v>0</v>
      </c>
      <c r="F92" s="25">
        <f>F93+F95</f>
        <v>0</v>
      </c>
    </row>
    <row r="93" spans="1:6" ht="78" hidden="1">
      <c r="A93" s="24">
        <v>31010000</v>
      </c>
      <c r="B93" s="41" t="s">
        <v>347</v>
      </c>
      <c r="C93" s="49">
        <f t="shared" si="2"/>
        <v>0</v>
      </c>
      <c r="D93" s="25">
        <f>D94</f>
        <v>0</v>
      </c>
      <c r="E93" s="25">
        <f>E94</f>
        <v>0</v>
      </c>
      <c r="F93" s="25">
        <f>F94</f>
        <v>0</v>
      </c>
    </row>
    <row r="94" spans="1:6" ht="62.25" hidden="1">
      <c r="A94" s="50">
        <v>31010200</v>
      </c>
      <c r="B94" s="42" t="s">
        <v>348</v>
      </c>
      <c r="C94" s="51">
        <f t="shared" si="2"/>
        <v>0</v>
      </c>
      <c r="D94" s="26"/>
      <c r="E94" s="26"/>
      <c r="F94" s="26"/>
    </row>
    <row r="95" spans="1:6" s="100" customFormat="1" ht="46.5" hidden="1">
      <c r="A95" s="93">
        <v>31030000</v>
      </c>
      <c r="B95" s="99" t="s">
        <v>227</v>
      </c>
      <c r="C95" s="62">
        <f t="shared" si="2"/>
        <v>0</v>
      </c>
      <c r="D95" s="61"/>
      <c r="E95" s="61"/>
      <c r="F95" s="61"/>
    </row>
    <row r="96" spans="1:6" s="28" customFormat="1" ht="15">
      <c r="A96" s="53">
        <v>33000000</v>
      </c>
      <c r="B96" s="54" t="s">
        <v>349</v>
      </c>
      <c r="C96" s="49">
        <f t="shared" si="2"/>
        <v>276836</v>
      </c>
      <c r="D96" s="25">
        <f>D97</f>
        <v>0</v>
      </c>
      <c r="E96" s="25">
        <f>E97</f>
        <v>276836</v>
      </c>
      <c r="F96" s="25">
        <f>F97</f>
        <v>276836</v>
      </c>
    </row>
    <row r="97" spans="1:6" s="28" customFormat="1" ht="15">
      <c r="A97" s="53">
        <v>33010000</v>
      </c>
      <c r="B97" s="54" t="s">
        <v>350</v>
      </c>
      <c r="C97" s="49">
        <f t="shared" si="2"/>
        <v>276836</v>
      </c>
      <c r="D97" s="25">
        <f>SUM(D98:D99)</f>
        <v>0</v>
      </c>
      <c r="E97" s="25">
        <f>SUM(E98:E99)</f>
        <v>276836</v>
      </c>
      <c r="F97" s="25">
        <f>SUM(F98:F99)</f>
        <v>276836</v>
      </c>
    </row>
    <row r="98" spans="1:6" ht="69" customHeight="1">
      <c r="A98" s="27">
        <v>33010100</v>
      </c>
      <c r="B98" s="52" t="s">
        <v>84</v>
      </c>
      <c r="C98" s="51">
        <f t="shared" si="2"/>
        <v>5374</v>
      </c>
      <c r="D98" s="26"/>
      <c r="E98" s="26">
        <v>5374</v>
      </c>
      <c r="F98" s="26">
        <v>5374</v>
      </c>
    </row>
    <row r="99" spans="1:6" ht="64.5" customHeight="1">
      <c r="A99" s="27">
        <v>33010500</v>
      </c>
      <c r="B99" s="52" t="s">
        <v>276</v>
      </c>
      <c r="C99" s="51">
        <f>SUM(D99:E99)</f>
        <v>271462</v>
      </c>
      <c r="D99" s="26"/>
      <c r="E99" s="26">
        <v>271462</v>
      </c>
      <c r="F99" s="26">
        <v>271462</v>
      </c>
    </row>
    <row r="100" spans="1:6" ht="15" hidden="1">
      <c r="A100" s="53">
        <v>50000000</v>
      </c>
      <c r="B100" s="54" t="s">
        <v>85</v>
      </c>
      <c r="C100" s="49">
        <f>SUM(D100:E100)</f>
        <v>0</v>
      </c>
      <c r="D100" s="25">
        <f>D101</f>
        <v>0</v>
      </c>
      <c r="E100" s="25">
        <f>E101</f>
        <v>0</v>
      </c>
      <c r="F100" s="25">
        <f>F101</f>
        <v>0</v>
      </c>
    </row>
    <row r="101" spans="1:6" ht="46.5" hidden="1">
      <c r="A101" s="27">
        <v>50110000</v>
      </c>
      <c r="B101" s="52" t="s">
        <v>86</v>
      </c>
      <c r="C101" s="51">
        <f>SUM(D101:E101)</f>
        <v>0</v>
      </c>
      <c r="D101" s="26"/>
      <c r="E101" s="26"/>
      <c r="F101" s="26"/>
    </row>
    <row r="102" spans="1:6" ht="22.5" customHeight="1">
      <c r="A102" s="212" t="s">
        <v>351</v>
      </c>
      <c r="B102" s="213"/>
      <c r="C102" s="49">
        <f>C15+C65+C91+C100</f>
        <v>169945036</v>
      </c>
      <c r="D102" s="49">
        <f>D15+D65+D91+D100</f>
        <v>165000000</v>
      </c>
      <c r="E102" s="49">
        <f>E15+E65+E91+E100</f>
        <v>4945036</v>
      </c>
      <c r="F102" s="49">
        <f>F15+F65+F91+F100</f>
        <v>276836</v>
      </c>
    </row>
    <row r="103" spans="1:6" ht="18" customHeight="1">
      <c r="A103" s="24">
        <v>40000000</v>
      </c>
      <c r="B103" s="41" t="s">
        <v>352</v>
      </c>
      <c r="C103" s="49">
        <f aca="true" t="shared" si="3" ref="C103:C108">SUM(D103:E103)</f>
        <v>132016586</v>
      </c>
      <c r="D103" s="25">
        <f>D104</f>
        <v>132016586</v>
      </c>
      <c r="E103" s="25">
        <f>E104</f>
        <v>0</v>
      </c>
      <c r="F103" s="25">
        <f>F104</f>
        <v>0</v>
      </c>
    </row>
    <row r="104" spans="1:6" ht="18" customHeight="1">
      <c r="A104" s="24">
        <v>41000000</v>
      </c>
      <c r="B104" s="41" t="s">
        <v>353</v>
      </c>
      <c r="C104" s="49">
        <f t="shared" si="3"/>
        <v>132016586</v>
      </c>
      <c r="D104" s="25">
        <f>D105+D108+D117+D113</f>
        <v>132016586</v>
      </c>
      <c r="E104" s="25">
        <f>E105+E108+E117</f>
        <v>0</v>
      </c>
      <c r="F104" s="25">
        <f>F105+F108+F117</f>
        <v>0</v>
      </c>
    </row>
    <row r="105" spans="1:6" ht="27" customHeight="1">
      <c r="A105" s="24">
        <v>41020000</v>
      </c>
      <c r="B105" s="41" t="s">
        <v>354</v>
      </c>
      <c r="C105" s="49">
        <f t="shared" si="3"/>
        <v>37253500</v>
      </c>
      <c r="D105" s="25">
        <f>SUM(D106:D107)</f>
        <v>37253500</v>
      </c>
      <c r="E105" s="25">
        <f>SUM(E106:E107)</f>
        <v>0</v>
      </c>
      <c r="F105" s="25">
        <f>SUM(F106:F107)</f>
        <v>0</v>
      </c>
    </row>
    <row r="106" spans="1:6" ht="17.25" customHeight="1">
      <c r="A106" s="27">
        <v>41020100</v>
      </c>
      <c r="B106" s="42" t="s">
        <v>355</v>
      </c>
      <c r="C106" s="51">
        <f t="shared" si="3"/>
        <v>37253500</v>
      </c>
      <c r="D106" s="26">
        <v>37253500</v>
      </c>
      <c r="E106" s="26"/>
      <c r="F106" s="26"/>
    </row>
    <row r="107" spans="1:6" ht="93">
      <c r="A107" s="50">
        <v>41021400</v>
      </c>
      <c r="B107" s="42" t="s">
        <v>190</v>
      </c>
      <c r="C107" s="51">
        <f t="shared" si="3"/>
        <v>0</v>
      </c>
      <c r="D107" s="26"/>
      <c r="E107" s="26"/>
      <c r="F107" s="26"/>
    </row>
    <row r="108" spans="1:6" ht="23.25" customHeight="1">
      <c r="A108" s="24">
        <v>41030000</v>
      </c>
      <c r="B108" s="41" t="s">
        <v>356</v>
      </c>
      <c r="C108" s="49">
        <f t="shared" si="3"/>
        <v>89254700</v>
      </c>
      <c r="D108" s="55">
        <f>SUM(D109:D112)</f>
        <v>89254700</v>
      </c>
      <c r="E108" s="55">
        <f>SUM(E109:E112)</f>
        <v>0</v>
      </c>
      <c r="F108" s="55">
        <f>SUM(F109:F112)</f>
        <v>0</v>
      </c>
    </row>
    <row r="109" spans="1:6" ht="28.5" customHeight="1">
      <c r="A109" s="27">
        <v>41033900</v>
      </c>
      <c r="B109" s="42" t="s">
        <v>357</v>
      </c>
      <c r="C109" s="51">
        <f>D109</f>
        <v>89254700</v>
      </c>
      <c r="D109" s="43">
        <v>89254700</v>
      </c>
      <c r="E109" s="43"/>
      <c r="F109" s="43"/>
    </row>
    <row r="110" spans="1:6" ht="46.5" hidden="1">
      <c r="A110" s="27">
        <v>41034500</v>
      </c>
      <c r="B110" s="94" t="s">
        <v>358</v>
      </c>
      <c r="C110" s="51">
        <f>SUM(D110:E110)</f>
        <v>0</v>
      </c>
      <c r="D110" s="43"/>
      <c r="E110" s="43"/>
      <c r="F110" s="43"/>
    </row>
    <row r="111" spans="1:6" ht="46.5" hidden="1">
      <c r="A111" s="27">
        <v>41035200</v>
      </c>
      <c r="B111" s="42" t="s">
        <v>87</v>
      </c>
      <c r="C111" s="51">
        <f>SUM(D111:E111)</f>
        <v>0</v>
      </c>
      <c r="D111" s="43"/>
      <c r="E111" s="43"/>
      <c r="F111" s="43"/>
    </row>
    <row r="112" spans="1:6" ht="56.25" customHeight="1" hidden="1">
      <c r="A112" s="27">
        <v>41035500</v>
      </c>
      <c r="B112" s="42" t="s">
        <v>144</v>
      </c>
      <c r="C112" s="51">
        <f>SUM(D112:E112)</f>
        <v>0</v>
      </c>
      <c r="D112" s="43"/>
      <c r="E112" s="43"/>
      <c r="F112" s="43"/>
    </row>
    <row r="113" spans="1:6" ht="30" customHeight="1">
      <c r="A113" s="24">
        <v>41040000</v>
      </c>
      <c r="B113" s="41" t="s">
        <v>359</v>
      </c>
      <c r="C113" s="49">
        <f>SUM(C114:C116)</f>
        <v>1963300</v>
      </c>
      <c r="D113" s="56">
        <f>SUM(D114:D116)</f>
        <v>1963300</v>
      </c>
      <c r="E113" s="56">
        <f>SUM(E114:E116)</f>
        <v>0</v>
      </c>
      <c r="F113" s="56">
        <f>SUM(F114:F116)</f>
        <v>0</v>
      </c>
    </row>
    <row r="114" spans="1:6" ht="67.5" customHeight="1">
      <c r="A114" s="27">
        <v>41040200</v>
      </c>
      <c r="B114" s="42" t="s">
        <v>360</v>
      </c>
      <c r="C114" s="51">
        <f>D114</f>
        <v>1963300</v>
      </c>
      <c r="D114" s="43">
        <v>1963300</v>
      </c>
      <c r="E114" s="43"/>
      <c r="F114" s="43"/>
    </row>
    <row r="115" spans="1:6" ht="30.75" customHeight="1" hidden="1">
      <c r="A115" s="27">
        <v>41040400</v>
      </c>
      <c r="B115" s="42" t="s">
        <v>211</v>
      </c>
      <c r="C115" s="51">
        <f>D115</f>
        <v>0</v>
      </c>
      <c r="D115" s="43"/>
      <c r="E115" s="43"/>
      <c r="F115" s="43"/>
    </row>
    <row r="116" spans="1:6" ht="98.25" customHeight="1" hidden="1">
      <c r="A116" s="50">
        <v>41040500</v>
      </c>
      <c r="B116" s="42" t="s">
        <v>201</v>
      </c>
      <c r="C116" s="51">
        <f>SUM(D116:E116)</f>
        <v>0</v>
      </c>
      <c r="D116" s="43"/>
      <c r="E116" s="43"/>
      <c r="F116" s="43"/>
    </row>
    <row r="117" spans="1:6" ht="31.5" customHeight="1">
      <c r="A117" s="24">
        <v>41050000</v>
      </c>
      <c r="B117" s="41" t="s">
        <v>361</v>
      </c>
      <c r="C117" s="49">
        <f aca="true" t="shared" si="4" ref="C117:C128">SUM(D117:E117)</f>
        <v>3545086</v>
      </c>
      <c r="D117" s="55">
        <f>SUM(D118:D128)</f>
        <v>3545086</v>
      </c>
      <c r="E117" s="55">
        <f>SUM(E118:E128)</f>
        <v>0</v>
      </c>
      <c r="F117" s="55">
        <f>SUM(F118:F128)</f>
        <v>0</v>
      </c>
    </row>
    <row r="118" spans="1:6" ht="53.25" customHeight="1">
      <c r="A118" s="50">
        <v>41051000</v>
      </c>
      <c r="B118" s="42" t="s">
        <v>362</v>
      </c>
      <c r="C118" s="51">
        <f t="shared" si="4"/>
        <v>2950560</v>
      </c>
      <c r="D118" s="26">
        <f>2950560</f>
        <v>2950560</v>
      </c>
      <c r="E118" s="26"/>
      <c r="F118" s="26"/>
    </row>
    <row r="119" spans="1:6" ht="51.75" customHeight="1" hidden="1">
      <c r="A119" s="50">
        <v>41051100</v>
      </c>
      <c r="B119" s="42" t="s">
        <v>363</v>
      </c>
      <c r="C119" s="51">
        <f t="shared" si="4"/>
        <v>0</v>
      </c>
      <c r="D119" s="26"/>
      <c r="E119" s="26"/>
      <c r="F119" s="26"/>
    </row>
    <row r="120" spans="1:6" ht="54.75" customHeight="1">
      <c r="A120" s="50">
        <v>41051200</v>
      </c>
      <c r="B120" s="42" t="s">
        <v>364</v>
      </c>
      <c r="C120" s="51">
        <f t="shared" si="4"/>
        <v>594526</v>
      </c>
      <c r="D120" s="26">
        <f>594526</f>
        <v>594526</v>
      </c>
      <c r="E120" s="26"/>
      <c r="F120" s="26"/>
    </row>
    <row r="121" spans="1:6" ht="65.25" customHeight="1" hidden="1">
      <c r="A121" s="50">
        <v>41051400</v>
      </c>
      <c r="B121" s="42" t="s">
        <v>365</v>
      </c>
      <c r="C121" s="51">
        <f t="shared" si="4"/>
        <v>0</v>
      </c>
      <c r="D121" s="26"/>
      <c r="E121" s="26"/>
      <c r="F121" s="26"/>
    </row>
    <row r="122" spans="1:6" ht="51.75" customHeight="1" hidden="1">
      <c r="A122" s="50">
        <v>41051500</v>
      </c>
      <c r="B122" s="42" t="s">
        <v>366</v>
      </c>
      <c r="C122" s="51">
        <f t="shared" si="4"/>
        <v>0</v>
      </c>
      <c r="D122" s="26"/>
      <c r="E122" s="26"/>
      <c r="F122" s="26"/>
    </row>
    <row r="123" spans="1:6" ht="66" customHeight="1" hidden="1">
      <c r="A123" s="50">
        <v>41051700</v>
      </c>
      <c r="B123" s="42" t="s">
        <v>88</v>
      </c>
      <c r="C123" s="51">
        <f t="shared" si="4"/>
        <v>0</v>
      </c>
      <c r="D123" s="26"/>
      <c r="E123" s="26"/>
      <c r="F123" s="26"/>
    </row>
    <row r="124" spans="1:6" ht="22.5" customHeight="1" hidden="1">
      <c r="A124" s="27">
        <v>41053900</v>
      </c>
      <c r="B124" s="42" t="s">
        <v>367</v>
      </c>
      <c r="C124" s="51">
        <f t="shared" si="4"/>
        <v>0</v>
      </c>
      <c r="D124" s="26">
        <f>874700-874700</f>
        <v>0</v>
      </c>
      <c r="E124" s="26"/>
      <c r="F124" s="26"/>
    </row>
    <row r="125" spans="1:6" ht="49.5" customHeight="1" hidden="1">
      <c r="A125" s="27">
        <v>41054300</v>
      </c>
      <c r="B125" s="42" t="s">
        <v>368</v>
      </c>
      <c r="C125" s="51">
        <f t="shared" si="4"/>
        <v>0</v>
      </c>
      <c r="D125" s="26"/>
      <c r="E125" s="26"/>
      <c r="F125" s="26"/>
    </row>
    <row r="126" spans="1:6" ht="48" customHeight="1" hidden="1">
      <c r="A126" s="27">
        <v>41055000</v>
      </c>
      <c r="B126" s="42" t="s">
        <v>369</v>
      </c>
      <c r="C126" s="51">
        <f t="shared" si="4"/>
        <v>0</v>
      </c>
      <c r="D126" s="26"/>
      <c r="E126" s="26"/>
      <c r="F126" s="26"/>
    </row>
    <row r="127" spans="1:6" ht="78.75" customHeight="1" hidden="1">
      <c r="A127" s="50">
        <v>41055100</v>
      </c>
      <c r="B127" s="42" t="s">
        <v>370</v>
      </c>
      <c r="C127" s="51">
        <f t="shared" si="4"/>
        <v>0</v>
      </c>
      <c r="D127" s="26"/>
      <c r="E127" s="26"/>
      <c r="F127" s="26"/>
    </row>
    <row r="128" spans="1:6" ht="102" customHeight="1" hidden="1">
      <c r="A128" s="27">
        <v>41055200</v>
      </c>
      <c r="B128" s="42" t="s">
        <v>371</v>
      </c>
      <c r="C128" s="51">
        <f t="shared" si="4"/>
        <v>0</v>
      </c>
      <c r="D128" s="26"/>
      <c r="E128" s="26"/>
      <c r="F128" s="26"/>
    </row>
    <row r="129" spans="1:6" ht="17.25" customHeight="1">
      <c r="A129" s="57" t="s">
        <v>372</v>
      </c>
      <c r="B129" s="58" t="s">
        <v>373</v>
      </c>
      <c r="C129" s="49">
        <f>C102+C103</f>
        <v>301961622</v>
      </c>
      <c r="D129" s="49">
        <f>D102+D103</f>
        <v>297016586</v>
      </c>
      <c r="E129" s="49">
        <f>E102+E103</f>
        <v>4945036</v>
      </c>
      <c r="F129" s="49">
        <f>F102+F103</f>
        <v>276836</v>
      </c>
    </row>
    <row r="130" spans="4:6" ht="12.75">
      <c r="D130" s="59"/>
      <c r="E130" s="59"/>
      <c r="F130" s="59"/>
    </row>
    <row r="131" spans="1:6" s="2" customFormat="1" ht="38.25" customHeight="1">
      <c r="A131" s="214" t="s">
        <v>231</v>
      </c>
      <c r="B131" s="215"/>
      <c r="C131" s="215"/>
      <c r="D131" s="215"/>
      <c r="E131" s="215"/>
      <c r="F131" s="215"/>
    </row>
    <row r="132" spans="4:6" ht="12.75">
      <c r="D132" s="59"/>
      <c r="E132" s="59"/>
      <c r="F132" s="59"/>
    </row>
    <row r="133" spans="4:6" ht="12.75">
      <c r="D133" s="59"/>
      <c r="E133" s="59"/>
      <c r="F133" s="59"/>
    </row>
    <row r="134" spans="4:6" ht="12.75">
      <c r="D134" s="60"/>
      <c r="E134" s="60"/>
      <c r="F134" s="59"/>
    </row>
    <row r="135" spans="4:6" ht="12.75">
      <c r="D135" s="59"/>
      <c r="E135" s="59"/>
      <c r="F135" s="59"/>
    </row>
    <row r="136" spans="4:6" ht="12.75">
      <c r="D136" s="59"/>
      <c r="E136" s="59"/>
      <c r="F136" s="59"/>
    </row>
    <row r="137" spans="4:6" ht="12.75">
      <c r="D137" s="59"/>
      <c r="E137" s="59"/>
      <c r="F137" s="59"/>
    </row>
    <row r="138" spans="4:6" ht="12.75">
      <c r="D138" s="59"/>
      <c r="E138" s="59"/>
      <c r="F138" s="59"/>
    </row>
    <row r="139" spans="4:6" ht="12.75">
      <c r="D139" s="59"/>
      <c r="E139" s="59"/>
      <c r="F139" s="59"/>
    </row>
    <row r="140" spans="4:6" ht="12.75">
      <c r="D140" s="59"/>
      <c r="E140" s="59"/>
      <c r="F140" s="59"/>
    </row>
    <row r="141" spans="4:6" ht="12.75">
      <c r="D141" s="59"/>
      <c r="E141" s="59"/>
      <c r="F141" s="59"/>
    </row>
    <row r="142" spans="4:6" ht="12.75">
      <c r="D142" s="59"/>
      <c r="E142" s="59"/>
      <c r="F142" s="59"/>
    </row>
    <row r="143" spans="4:6" ht="12.75">
      <c r="D143" s="59"/>
      <c r="E143" s="59"/>
      <c r="F143" s="59"/>
    </row>
    <row r="144" spans="4:6" ht="12.75">
      <c r="D144" s="59"/>
      <c r="E144" s="59"/>
      <c r="F144" s="59"/>
    </row>
    <row r="145" spans="4:6" ht="12.75">
      <c r="D145" s="59"/>
      <c r="E145" s="59"/>
      <c r="F145" s="59"/>
    </row>
    <row r="146" spans="4:6" ht="12.75">
      <c r="D146" s="59"/>
      <c r="E146" s="59"/>
      <c r="F146" s="59"/>
    </row>
    <row r="147" spans="4:6" ht="12.75">
      <c r="D147" s="59"/>
      <c r="E147" s="59"/>
      <c r="F147" s="59"/>
    </row>
    <row r="148" spans="4:6" ht="12.75">
      <c r="D148" s="59"/>
      <c r="E148" s="59"/>
      <c r="F148" s="59"/>
    </row>
    <row r="149" spans="4:6" ht="12.75">
      <c r="D149" s="59"/>
      <c r="E149" s="59"/>
      <c r="F149" s="59"/>
    </row>
    <row r="150" spans="4:6" ht="12.75">
      <c r="D150" s="59"/>
      <c r="E150" s="59"/>
      <c r="F150" s="59"/>
    </row>
    <row r="151" spans="4:6" ht="12.75">
      <c r="D151" s="59"/>
      <c r="E151" s="59"/>
      <c r="F151" s="59"/>
    </row>
    <row r="152" spans="4:6" ht="12.75">
      <c r="D152" s="59"/>
      <c r="E152" s="59"/>
      <c r="F152" s="59"/>
    </row>
    <row r="153" spans="4:6" ht="12.75">
      <c r="D153" s="59"/>
      <c r="E153" s="59"/>
      <c r="F153" s="59"/>
    </row>
    <row r="154" spans="4:6" ht="12.75">
      <c r="D154" s="59"/>
      <c r="E154" s="59"/>
      <c r="F154" s="59"/>
    </row>
    <row r="155" spans="4:6" ht="12.75">
      <c r="D155" s="59"/>
      <c r="E155" s="59"/>
      <c r="F155" s="59"/>
    </row>
    <row r="156" spans="4:6" ht="12.75">
      <c r="D156" s="59"/>
      <c r="E156" s="59"/>
      <c r="F156" s="59"/>
    </row>
    <row r="157" spans="4:6" ht="12.75">
      <c r="D157" s="59"/>
      <c r="E157" s="59"/>
      <c r="F157" s="59"/>
    </row>
    <row r="158" spans="4:6" ht="12.75">
      <c r="D158" s="59"/>
      <c r="E158" s="59"/>
      <c r="F158" s="59"/>
    </row>
    <row r="159" spans="4:6" ht="12.75">
      <c r="D159" s="59"/>
      <c r="E159" s="59"/>
      <c r="F159" s="59"/>
    </row>
    <row r="160" spans="4:6" ht="12.75">
      <c r="D160" s="59"/>
      <c r="E160" s="59"/>
      <c r="F160" s="59"/>
    </row>
    <row r="161" spans="4:6" ht="12.75">
      <c r="D161" s="59"/>
      <c r="E161" s="59"/>
      <c r="F161" s="59"/>
    </row>
    <row r="162" spans="4:6" ht="12.75">
      <c r="D162" s="59"/>
      <c r="E162" s="59"/>
      <c r="F162" s="59"/>
    </row>
    <row r="163" spans="4:6" ht="12.75">
      <c r="D163" s="59"/>
      <c r="E163" s="59"/>
      <c r="F163" s="59"/>
    </row>
    <row r="164" spans="4:6" ht="12.75">
      <c r="D164" s="59"/>
      <c r="E164" s="59"/>
      <c r="F164" s="59"/>
    </row>
    <row r="165" spans="4:6" ht="12.75">
      <c r="D165" s="59"/>
      <c r="E165" s="59"/>
      <c r="F165" s="59"/>
    </row>
    <row r="166" spans="4:6" ht="12.75">
      <c r="D166" s="59"/>
      <c r="E166" s="59"/>
      <c r="F166" s="59"/>
    </row>
    <row r="167" spans="4:6" ht="12.75">
      <c r="D167" s="59"/>
      <c r="E167" s="59"/>
      <c r="F167" s="59"/>
    </row>
    <row r="168" spans="4:6" ht="12.75">
      <c r="D168" s="59"/>
      <c r="E168" s="59"/>
      <c r="F168" s="59"/>
    </row>
    <row r="169" spans="4:6" ht="12.75">
      <c r="D169" s="59"/>
      <c r="E169" s="59"/>
      <c r="F169" s="59"/>
    </row>
    <row r="170" spans="4:6" ht="12.75">
      <c r="D170" s="59"/>
      <c r="E170" s="59"/>
      <c r="F170" s="59"/>
    </row>
    <row r="171" spans="4:6" ht="12.75">
      <c r="D171" s="59"/>
      <c r="E171" s="59"/>
      <c r="F171" s="59"/>
    </row>
    <row r="172" spans="4:6" ht="12.75">
      <c r="D172" s="59"/>
      <c r="E172" s="59"/>
      <c r="F172" s="59"/>
    </row>
    <row r="173" spans="4:6" ht="12.75">
      <c r="D173" s="59"/>
      <c r="E173" s="59"/>
      <c r="F173" s="59"/>
    </row>
    <row r="174" spans="4:6" ht="12.75">
      <c r="D174" s="59"/>
      <c r="E174" s="59"/>
      <c r="F174" s="59"/>
    </row>
    <row r="175" spans="4:6" ht="12.75">
      <c r="D175" s="59"/>
      <c r="E175" s="59"/>
      <c r="F175" s="59"/>
    </row>
    <row r="176" spans="4:6" ht="12.75">
      <c r="D176" s="59"/>
      <c r="E176" s="59"/>
      <c r="F176" s="59"/>
    </row>
    <row r="177" spans="4:6" ht="12.75">
      <c r="D177" s="59"/>
      <c r="E177" s="59"/>
      <c r="F177" s="59"/>
    </row>
    <row r="178" spans="4:6" ht="12.75">
      <c r="D178" s="59"/>
      <c r="E178" s="59"/>
      <c r="F178" s="59"/>
    </row>
    <row r="179" spans="4:6" ht="12.75">
      <c r="D179" s="59"/>
      <c r="E179" s="59"/>
      <c r="F179" s="59"/>
    </row>
    <row r="180" spans="4:6" ht="12.75">
      <c r="D180" s="59"/>
      <c r="E180" s="59"/>
      <c r="F180" s="59"/>
    </row>
    <row r="181" spans="4:6" ht="12.75">
      <c r="D181" s="59"/>
      <c r="E181" s="59"/>
      <c r="F181" s="59"/>
    </row>
    <row r="182" spans="4:6" ht="12.75">
      <c r="D182" s="59"/>
      <c r="E182" s="59"/>
      <c r="F182" s="59"/>
    </row>
    <row r="183" spans="4:6" ht="12.75">
      <c r="D183" s="59"/>
      <c r="E183" s="59"/>
      <c r="F183" s="59"/>
    </row>
    <row r="184" spans="4:6" ht="12.75">
      <c r="D184" s="59"/>
      <c r="E184" s="59"/>
      <c r="F184" s="59"/>
    </row>
    <row r="185" spans="4:6" ht="12.75">
      <c r="D185" s="59"/>
      <c r="E185" s="59"/>
      <c r="F185" s="59"/>
    </row>
    <row r="186" spans="4:6" ht="12.75">
      <c r="D186" s="59"/>
      <c r="E186" s="59"/>
      <c r="F186" s="59"/>
    </row>
    <row r="187" spans="4:6" ht="12.75">
      <c r="D187" s="59"/>
      <c r="E187" s="59"/>
      <c r="F187" s="59"/>
    </row>
    <row r="188" spans="4:6" ht="12.75">
      <c r="D188" s="59"/>
      <c r="E188" s="59"/>
      <c r="F188" s="59"/>
    </row>
    <row r="189" spans="4:6" ht="12.75">
      <c r="D189" s="59"/>
      <c r="E189" s="59"/>
      <c r="F189" s="59"/>
    </row>
    <row r="190" spans="4:6" ht="12.75">
      <c r="D190" s="59"/>
      <c r="E190" s="59"/>
      <c r="F190" s="59"/>
    </row>
    <row r="191" spans="4:6" ht="12.75">
      <c r="D191" s="59"/>
      <c r="E191" s="59"/>
      <c r="F191" s="59"/>
    </row>
    <row r="192" spans="4:6" ht="12.75">
      <c r="D192" s="59"/>
      <c r="E192" s="59"/>
      <c r="F192" s="59"/>
    </row>
    <row r="193" spans="4:6" ht="12.75">
      <c r="D193" s="59"/>
      <c r="E193" s="59"/>
      <c r="F193" s="59"/>
    </row>
    <row r="194" spans="4:6" ht="12.75">
      <c r="D194" s="59"/>
      <c r="E194" s="59"/>
      <c r="F194" s="59"/>
    </row>
    <row r="195" spans="4:6" ht="12.75">
      <c r="D195" s="59"/>
      <c r="E195" s="59"/>
      <c r="F195" s="59"/>
    </row>
    <row r="196" spans="4:6" ht="12.75">
      <c r="D196" s="59"/>
      <c r="E196" s="59"/>
      <c r="F196" s="59"/>
    </row>
    <row r="197" spans="4:6" ht="12.75">
      <c r="D197" s="59"/>
      <c r="E197" s="59"/>
      <c r="F197" s="59"/>
    </row>
    <row r="198" spans="4:6" ht="12.75">
      <c r="D198" s="59"/>
      <c r="E198" s="59"/>
      <c r="F198" s="59"/>
    </row>
    <row r="199" spans="4:6" ht="12.75">
      <c r="D199" s="59"/>
      <c r="E199" s="59"/>
      <c r="F199" s="59"/>
    </row>
  </sheetData>
  <sheetProtection/>
  <mergeCells count="15">
    <mergeCell ref="A131:F131"/>
    <mergeCell ref="A11:A13"/>
    <mergeCell ref="B11:B13"/>
    <mergeCell ref="C11:C13"/>
    <mergeCell ref="D11:D13"/>
    <mergeCell ref="E12:E13"/>
    <mergeCell ref="F12:F13"/>
    <mergeCell ref="A7:F7"/>
    <mergeCell ref="D4:F4"/>
    <mergeCell ref="E11:F11"/>
    <mergeCell ref="A102:B102"/>
    <mergeCell ref="D1:F1"/>
    <mergeCell ref="D2:F2"/>
    <mergeCell ref="D3:F3"/>
    <mergeCell ref="C5:F5"/>
  </mergeCells>
  <printOptions/>
  <pageMargins left="0.6299212598425197" right="0.1968503937007874" top="0.6299212598425197" bottom="0.5511811023622047" header="0" footer="0"/>
  <pageSetup fitToHeight="7"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H69"/>
  <sheetViews>
    <sheetView zoomScalePageLayoutView="0" workbookViewId="0" topLeftCell="A6">
      <selection activeCell="A15" sqref="A15:IV69"/>
    </sheetView>
  </sheetViews>
  <sheetFormatPr defaultColWidth="9.00390625" defaultRowHeight="12.75"/>
  <cols>
    <col min="1" max="1" width="15.375" style="3" customWidth="1"/>
    <col min="2" max="2" width="40.75390625" style="2" customWidth="1"/>
    <col min="3" max="3" width="16.625" style="2" customWidth="1"/>
    <col min="4" max="4" width="17.625" style="2" customWidth="1"/>
    <col min="5" max="5" width="17.75390625" style="2" customWidth="1"/>
    <col min="6" max="6" width="17.25390625" style="2" customWidth="1"/>
    <col min="7" max="7" width="18.75390625" style="2" customWidth="1"/>
    <col min="8" max="8" width="9.125" style="2" bestFit="1" customWidth="1"/>
    <col min="9" max="16384" width="9.125" style="2" customWidth="1"/>
  </cols>
  <sheetData>
    <row r="1" ht="15">
      <c r="B1" s="5"/>
    </row>
    <row r="2" spans="4:6" ht="15">
      <c r="D2" s="204" t="s">
        <v>374</v>
      </c>
      <c r="E2" s="204"/>
      <c r="F2" s="204"/>
    </row>
    <row r="3" spans="4:6" ht="15">
      <c r="D3" s="204" t="str">
        <f>додаток1!D2</f>
        <v>до рішення сімнадцятої сесії Тетіївської міської ради</v>
      </c>
      <c r="E3" s="204"/>
      <c r="F3" s="204"/>
    </row>
    <row r="4" spans="4:6" ht="31.5" customHeight="1">
      <c r="D4" s="217" t="str">
        <f>додаток1!D3</f>
        <v>"Про бюджет Тетіївської міської територіальної громади на 2023 рік" від 20.12.2022 № 772-17-VIII</v>
      </c>
      <c r="E4" s="217"/>
      <c r="F4" s="217"/>
    </row>
    <row r="5" spans="4:8" ht="28.5" customHeight="1">
      <c r="D5" s="218" t="str">
        <f>додаток1!D4</f>
        <v>(в редакції рішення дев'ятнадцятої сесії Тетіївської міської ради від 11.04.2023 № 885-19-VIII)</v>
      </c>
      <c r="E5" s="218"/>
      <c r="F5" s="218"/>
      <c r="G5" s="17"/>
      <c r="H5" s="17"/>
    </row>
    <row r="6" spans="3:8" ht="15">
      <c r="C6" s="207"/>
      <c r="D6" s="207"/>
      <c r="E6" s="207"/>
      <c r="F6" s="207"/>
      <c r="G6" s="17"/>
      <c r="H6" s="17"/>
    </row>
    <row r="7" spans="1:6" s="9" customFormat="1" ht="30" customHeight="1">
      <c r="A7" s="219" t="s">
        <v>238</v>
      </c>
      <c r="B7" s="219"/>
      <c r="C7" s="219"/>
      <c r="D7" s="219"/>
      <c r="E7" s="219"/>
      <c r="F7" s="219"/>
    </row>
    <row r="8" spans="1:6" s="9" customFormat="1" ht="15.75" customHeight="1">
      <c r="A8" s="19">
        <f>додаток1!A8</f>
        <v>10508000000</v>
      </c>
      <c r="B8" s="18"/>
      <c r="C8" s="18"/>
      <c r="D8" s="20"/>
      <c r="E8" s="20"/>
      <c r="F8" s="20"/>
    </row>
    <row r="9" spans="1:6" s="9" customFormat="1" ht="15.75" customHeight="1">
      <c r="A9" s="8" t="s">
        <v>281</v>
      </c>
      <c r="B9" s="18"/>
      <c r="C9" s="18"/>
      <c r="D9" s="20"/>
      <c r="E9" s="20"/>
      <c r="F9" s="20"/>
    </row>
    <row r="10" spans="1:6" s="10" customFormat="1" ht="15.75" customHeight="1">
      <c r="A10" s="21"/>
      <c r="F10" s="7" t="s">
        <v>282</v>
      </c>
    </row>
    <row r="11" spans="1:6" s="11" customFormat="1" ht="33.75" customHeight="1">
      <c r="A11" s="221" t="s">
        <v>283</v>
      </c>
      <c r="B11" s="211" t="s">
        <v>375</v>
      </c>
      <c r="C11" s="228" t="s">
        <v>285</v>
      </c>
      <c r="D11" s="230" t="s">
        <v>286</v>
      </c>
      <c r="E11" s="220" t="s">
        <v>287</v>
      </c>
      <c r="F11" s="221"/>
    </row>
    <row r="12" spans="1:6" s="12" customFormat="1" ht="42" customHeight="1">
      <c r="A12" s="221"/>
      <c r="B12" s="227"/>
      <c r="C12" s="229"/>
      <c r="D12" s="231"/>
      <c r="E12" s="40" t="s">
        <v>376</v>
      </c>
      <c r="F12" s="22" t="s">
        <v>377</v>
      </c>
    </row>
    <row r="13" spans="1:6" s="13" customFormat="1" ht="15.75" customHeight="1">
      <c r="A13" s="23">
        <v>1</v>
      </c>
      <c r="B13" s="23">
        <v>2</v>
      </c>
      <c r="C13" s="23">
        <v>3</v>
      </c>
      <c r="D13" s="23">
        <v>4</v>
      </c>
      <c r="E13" s="23">
        <v>5</v>
      </c>
      <c r="F13" s="23">
        <v>6</v>
      </c>
    </row>
    <row r="14" spans="1:6" s="14" customFormat="1" ht="15.75" customHeight="1">
      <c r="A14" s="222" t="s">
        <v>378</v>
      </c>
      <c r="B14" s="223"/>
      <c r="C14" s="223"/>
      <c r="D14" s="223"/>
      <c r="E14" s="223"/>
      <c r="F14" s="224"/>
    </row>
    <row r="15" spans="1:6" s="131" customFormat="1" ht="24" customHeight="1">
      <c r="A15" s="130">
        <v>200000</v>
      </c>
      <c r="B15" s="54" t="s">
        <v>379</v>
      </c>
      <c r="C15" s="55">
        <f>D15+E15</f>
        <v>8646234</v>
      </c>
      <c r="D15" s="55">
        <f>D16+D20+D23</f>
        <v>6252024</v>
      </c>
      <c r="E15" s="55">
        <f>E16+E20+E23</f>
        <v>2394210</v>
      </c>
      <c r="F15" s="55">
        <f>F16+F20+F23</f>
        <v>1985474</v>
      </c>
    </row>
    <row r="16" spans="1:6" s="131" customFormat="1" ht="24" customHeight="1">
      <c r="A16" s="130">
        <v>203000</v>
      </c>
      <c r="B16" s="54" t="s">
        <v>380</v>
      </c>
      <c r="C16" s="55">
        <f aca="true" t="shared" si="0" ref="C16:C36">D16+E16</f>
        <v>0</v>
      </c>
      <c r="D16" s="55">
        <f>D17</f>
        <v>0</v>
      </c>
      <c r="E16" s="55">
        <f>E17</f>
        <v>0</v>
      </c>
      <c r="F16" s="55">
        <f>F17</f>
        <v>0</v>
      </c>
    </row>
    <row r="17" spans="1:6" s="131" customFormat="1" ht="34.5" customHeight="1">
      <c r="A17" s="130">
        <v>203400</v>
      </c>
      <c r="B17" s="54" t="s">
        <v>381</v>
      </c>
      <c r="C17" s="55">
        <f>C18+C19</f>
        <v>0</v>
      </c>
      <c r="D17" s="55">
        <f>D18+D19</f>
        <v>0</v>
      </c>
      <c r="E17" s="55">
        <f>E18+E19</f>
        <v>0</v>
      </c>
      <c r="F17" s="55">
        <f>F18+F19</f>
        <v>0</v>
      </c>
    </row>
    <row r="18" spans="1:6" s="131" customFormat="1" ht="24" customHeight="1">
      <c r="A18" s="132">
        <v>203410</v>
      </c>
      <c r="B18" s="52" t="s">
        <v>382</v>
      </c>
      <c r="C18" s="55">
        <f t="shared" si="0"/>
        <v>29339155</v>
      </c>
      <c r="D18" s="43">
        <v>29339155</v>
      </c>
      <c r="E18" s="43"/>
      <c r="F18" s="43"/>
    </row>
    <row r="19" spans="1:6" s="131" customFormat="1" ht="24" customHeight="1">
      <c r="A19" s="132">
        <v>203420</v>
      </c>
      <c r="B19" s="52" t="s">
        <v>383</v>
      </c>
      <c r="C19" s="55">
        <f t="shared" si="0"/>
        <v>-29339155</v>
      </c>
      <c r="D19" s="43">
        <v>-29339155</v>
      </c>
      <c r="E19" s="43"/>
      <c r="F19" s="43"/>
    </row>
    <row r="20" spans="1:6" s="131" customFormat="1" ht="51" customHeight="1">
      <c r="A20" s="130">
        <v>205000</v>
      </c>
      <c r="B20" s="54" t="s">
        <v>384</v>
      </c>
      <c r="C20" s="55">
        <f t="shared" si="0"/>
        <v>0</v>
      </c>
      <c r="D20" s="55">
        <f>D21-D22</f>
        <v>0</v>
      </c>
      <c r="E20" s="55">
        <f>E21-E22</f>
        <v>0</v>
      </c>
      <c r="F20" s="55">
        <f>F21-F22</f>
        <v>0</v>
      </c>
    </row>
    <row r="21" spans="1:6" s="133" customFormat="1" ht="24" customHeight="1">
      <c r="A21" s="132">
        <v>205100</v>
      </c>
      <c r="B21" s="52" t="s">
        <v>385</v>
      </c>
      <c r="C21" s="55">
        <f t="shared" si="0"/>
        <v>1416020.29</v>
      </c>
      <c r="D21" s="43"/>
      <c r="E21" s="43">
        <v>1416020.29</v>
      </c>
      <c r="F21" s="43"/>
    </row>
    <row r="22" spans="1:6" s="133" customFormat="1" ht="24" customHeight="1">
      <c r="A22" s="132">
        <v>205200</v>
      </c>
      <c r="B22" s="52" t="s">
        <v>386</v>
      </c>
      <c r="C22" s="55">
        <f t="shared" si="0"/>
        <v>1416020.29</v>
      </c>
      <c r="D22" s="43"/>
      <c r="E22" s="43">
        <v>1416020.29</v>
      </c>
      <c r="F22" s="43"/>
    </row>
    <row r="23" spans="1:6" s="133" customFormat="1" ht="37.5" customHeight="1">
      <c r="A23" s="130">
        <v>208000</v>
      </c>
      <c r="B23" s="54" t="s">
        <v>387</v>
      </c>
      <c r="C23" s="55">
        <f t="shared" si="0"/>
        <v>8646234</v>
      </c>
      <c r="D23" s="55">
        <f>D24-D25+D26</f>
        <v>6252024</v>
      </c>
      <c r="E23" s="55">
        <f>E24-E25+E26</f>
        <v>2394210</v>
      </c>
      <c r="F23" s="55">
        <f>F24-F25+F26</f>
        <v>1985474</v>
      </c>
    </row>
    <row r="24" spans="1:6" s="133" customFormat="1" ht="24.75" customHeight="1">
      <c r="A24" s="132">
        <v>208100</v>
      </c>
      <c r="B24" s="52" t="s">
        <v>385</v>
      </c>
      <c r="C24" s="55">
        <f t="shared" si="0"/>
        <v>9113756.61</v>
      </c>
      <c r="D24" s="43">
        <v>8449931.1</v>
      </c>
      <c r="E24" s="43">
        <v>663825.51</v>
      </c>
      <c r="F24" s="43">
        <v>16238.45</v>
      </c>
    </row>
    <row r="25" spans="1:6" s="133" customFormat="1" ht="24.75" customHeight="1">
      <c r="A25" s="132">
        <v>208200</v>
      </c>
      <c r="B25" s="52" t="s">
        <v>386</v>
      </c>
      <c r="C25" s="55">
        <f t="shared" si="0"/>
        <v>467522.60999999964</v>
      </c>
      <c r="D25" s="43">
        <f>8449931.1-5144409-1442681-1634170</f>
        <v>228671.09999999963</v>
      </c>
      <c r="E25" s="43">
        <f>663825.51-97440-194250-16238-30121-10000-76925</f>
        <v>238851.51</v>
      </c>
      <c r="F25" s="43">
        <f>16238.45-16238</f>
        <v>0.4500000000007276</v>
      </c>
    </row>
    <row r="26" spans="1:6" s="133" customFormat="1" ht="43.5" customHeight="1">
      <c r="A26" s="132">
        <v>208400</v>
      </c>
      <c r="B26" s="52" t="s">
        <v>388</v>
      </c>
      <c r="C26" s="43">
        <f t="shared" si="0"/>
        <v>0</v>
      </c>
      <c r="D26" s="43">
        <f>-1090436-800000-78800</f>
        <v>-1969236</v>
      </c>
      <c r="E26" s="43">
        <f>1090436+800000+78800</f>
        <v>1969236</v>
      </c>
      <c r="F26" s="43">
        <f>E26</f>
        <v>1969236</v>
      </c>
    </row>
    <row r="27" spans="1:6" s="131" customFormat="1" ht="28.5" customHeight="1">
      <c r="A27" s="130"/>
      <c r="B27" s="54" t="s">
        <v>389</v>
      </c>
      <c r="C27" s="55">
        <f t="shared" si="0"/>
        <v>8646234</v>
      </c>
      <c r="D27" s="55">
        <f>D15</f>
        <v>6252024</v>
      </c>
      <c r="E27" s="55">
        <f>E15</f>
        <v>2394210</v>
      </c>
      <c r="F27" s="55">
        <f>F15</f>
        <v>1985474</v>
      </c>
    </row>
    <row r="28" spans="1:6" s="131" customFormat="1" ht="28.5" customHeight="1">
      <c r="A28" s="202" t="s">
        <v>390</v>
      </c>
      <c r="B28" s="203"/>
      <c r="C28" s="203"/>
      <c r="D28" s="203"/>
      <c r="E28" s="203"/>
      <c r="F28" s="225"/>
    </row>
    <row r="29" spans="1:6" s="131" customFormat="1" ht="31.5" customHeight="1">
      <c r="A29" s="130">
        <v>600000</v>
      </c>
      <c r="B29" s="54" t="s">
        <v>391</v>
      </c>
      <c r="C29" s="55">
        <f t="shared" si="0"/>
        <v>8646234</v>
      </c>
      <c r="D29" s="55">
        <f>D20+D23</f>
        <v>6252024</v>
      </c>
      <c r="E29" s="55">
        <f>E20+E23</f>
        <v>2394210</v>
      </c>
      <c r="F29" s="55">
        <f>F20+F23</f>
        <v>1985474</v>
      </c>
    </row>
    <row r="30" spans="1:7" s="131" customFormat="1" ht="21.75" customHeight="1">
      <c r="A30" s="130">
        <v>602000</v>
      </c>
      <c r="B30" s="54" t="s">
        <v>392</v>
      </c>
      <c r="C30" s="55">
        <f t="shared" si="0"/>
        <v>8646234</v>
      </c>
      <c r="D30" s="55">
        <f>D31-D32+D33</f>
        <v>6252024</v>
      </c>
      <c r="E30" s="55">
        <f>E31-E32+E33</f>
        <v>2394210</v>
      </c>
      <c r="F30" s="55">
        <f>F31-F32+F33</f>
        <v>1985474</v>
      </c>
      <c r="G30" s="133"/>
    </row>
    <row r="31" spans="1:6" s="131" customFormat="1" ht="24" customHeight="1">
      <c r="A31" s="132">
        <v>602100</v>
      </c>
      <c r="B31" s="52" t="s">
        <v>385</v>
      </c>
      <c r="C31" s="55">
        <f t="shared" si="0"/>
        <v>10529776.9</v>
      </c>
      <c r="D31" s="43">
        <f aca="true" t="shared" si="1" ref="D31:F32">D21+D24</f>
        <v>8449931.1</v>
      </c>
      <c r="E31" s="43">
        <f t="shared" si="1"/>
        <v>2079845.8</v>
      </c>
      <c r="F31" s="43">
        <f t="shared" si="1"/>
        <v>16238.45</v>
      </c>
    </row>
    <row r="32" spans="1:6" s="131" customFormat="1" ht="25.5" customHeight="1">
      <c r="A32" s="132">
        <v>602200</v>
      </c>
      <c r="B32" s="52" t="s">
        <v>386</v>
      </c>
      <c r="C32" s="55">
        <f t="shared" si="0"/>
        <v>1883542.8999999997</v>
      </c>
      <c r="D32" s="43">
        <f t="shared" si="1"/>
        <v>228671.09999999963</v>
      </c>
      <c r="E32" s="43">
        <f t="shared" si="1"/>
        <v>1654871.8</v>
      </c>
      <c r="F32" s="43">
        <f t="shared" si="1"/>
        <v>0.4500000000007276</v>
      </c>
    </row>
    <row r="33" spans="1:6" s="131" customFormat="1" ht="53.25" customHeight="1">
      <c r="A33" s="132">
        <v>602400</v>
      </c>
      <c r="B33" s="52" t="s">
        <v>388</v>
      </c>
      <c r="C33" s="43">
        <f t="shared" si="0"/>
        <v>0</v>
      </c>
      <c r="D33" s="43">
        <f>D26</f>
        <v>-1969236</v>
      </c>
      <c r="E33" s="43">
        <f>E26</f>
        <v>1969236</v>
      </c>
      <c r="F33" s="43">
        <f>F26</f>
        <v>1969236</v>
      </c>
    </row>
    <row r="34" spans="1:6" s="133" customFormat="1" ht="31.5" customHeight="1">
      <c r="A34" s="130">
        <v>603000</v>
      </c>
      <c r="B34" s="54" t="s">
        <v>393</v>
      </c>
      <c r="C34" s="55">
        <f t="shared" si="0"/>
        <v>0</v>
      </c>
      <c r="D34" s="55">
        <v>0</v>
      </c>
      <c r="E34" s="55">
        <v>0</v>
      </c>
      <c r="F34" s="55">
        <v>0</v>
      </c>
    </row>
    <row r="35" spans="1:6" s="133" customFormat="1" ht="31.5" customHeight="1">
      <c r="A35" s="132">
        <v>603000</v>
      </c>
      <c r="B35" s="52" t="s">
        <v>393</v>
      </c>
      <c r="C35" s="55">
        <f t="shared" si="0"/>
        <v>0</v>
      </c>
      <c r="D35" s="43">
        <v>0</v>
      </c>
      <c r="E35" s="43">
        <v>0</v>
      </c>
      <c r="F35" s="43">
        <v>0</v>
      </c>
    </row>
    <row r="36" spans="1:6" s="131" customFormat="1" ht="31.5" customHeight="1">
      <c r="A36" s="53" t="s">
        <v>372</v>
      </c>
      <c r="B36" s="54" t="s">
        <v>389</v>
      </c>
      <c r="C36" s="55">
        <f t="shared" si="0"/>
        <v>8646234</v>
      </c>
      <c r="D36" s="55">
        <f>D15</f>
        <v>6252024</v>
      </c>
      <c r="E36" s="55">
        <f>E15</f>
        <v>2394210</v>
      </c>
      <c r="F36" s="55">
        <f>F15</f>
        <v>1985474</v>
      </c>
    </row>
    <row r="37" spans="1:6" s="133" customFormat="1" ht="62.25" customHeight="1">
      <c r="A37" s="226" t="str">
        <f>додаток1!A131</f>
        <v>Секретар міської ради                                                                        Наталія  ІВАНЮТА</v>
      </c>
      <c r="B37" s="226"/>
      <c r="C37" s="226"/>
      <c r="D37" s="226"/>
      <c r="E37" s="226"/>
      <c r="F37" s="226"/>
    </row>
    <row r="38" s="133" customFormat="1" ht="23.25" customHeight="1">
      <c r="A38" s="134"/>
    </row>
    <row r="39" spans="1:5" s="133" customFormat="1" ht="15">
      <c r="A39" s="134"/>
      <c r="D39" s="135"/>
      <c r="E39" s="135"/>
    </row>
    <row r="40" s="133" customFormat="1" ht="15">
      <c r="A40" s="134"/>
    </row>
    <row r="41" s="133" customFormat="1" ht="15">
      <c r="A41" s="134"/>
    </row>
    <row r="42" s="133" customFormat="1" ht="15">
      <c r="A42" s="134"/>
    </row>
    <row r="43" s="133" customFormat="1" ht="15">
      <c r="A43" s="134"/>
    </row>
    <row r="44" s="133" customFormat="1" ht="15">
      <c r="A44" s="134"/>
    </row>
    <row r="45" s="133" customFormat="1" ht="15">
      <c r="A45" s="134"/>
    </row>
    <row r="46" s="133" customFormat="1" ht="15">
      <c r="A46" s="134"/>
    </row>
    <row r="47" s="133" customFormat="1" ht="15">
      <c r="A47" s="134"/>
    </row>
    <row r="48" s="133" customFormat="1" ht="15">
      <c r="A48" s="134"/>
    </row>
    <row r="49" s="133" customFormat="1" ht="15">
      <c r="A49" s="134"/>
    </row>
    <row r="50" s="133" customFormat="1" ht="15">
      <c r="A50" s="134"/>
    </row>
    <row r="51" s="133" customFormat="1" ht="15">
      <c r="A51" s="134"/>
    </row>
    <row r="52" s="133" customFormat="1" ht="15">
      <c r="A52" s="134"/>
    </row>
    <row r="53" s="133" customFormat="1" ht="15">
      <c r="A53" s="134"/>
    </row>
    <row r="54" s="133" customFormat="1" ht="15">
      <c r="A54" s="134"/>
    </row>
    <row r="55" s="133" customFormat="1" ht="15">
      <c r="A55" s="134"/>
    </row>
    <row r="56" s="133" customFormat="1" ht="15">
      <c r="A56" s="134"/>
    </row>
    <row r="57" s="133" customFormat="1" ht="15">
      <c r="A57" s="134"/>
    </row>
    <row r="58" s="133" customFormat="1" ht="15">
      <c r="A58" s="134"/>
    </row>
    <row r="59" s="133" customFormat="1" ht="15">
      <c r="A59" s="134"/>
    </row>
    <row r="60" s="133" customFormat="1" ht="15">
      <c r="A60" s="134"/>
    </row>
    <row r="61" s="133" customFormat="1" ht="15">
      <c r="A61" s="134"/>
    </row>
    <row r="62" s="133" customFormat="1" ht="15">
      <c r="A62" s="134"/>
    </row>
    <row r="63" s="133" customFormat="1" ht="15">
      <c r="A63" s="134"/>
    </row>
    <row r="64" s="133" customFormat="1" ht="15">
      <c r="A64" s="134"/>
    </row>
    <row r="65" s="133" customFormat="1" ht="15">
      <c r="A65" s="134"/>
    </row>
    <row r="66" s="133" customFormat="1" ht="15">
      <c r="A66" s="134"/>
    </row>
    <row r="67" s="133" customFormat="1" ht="15">
      <c r="A67" s="134"/>
    </row>
    <row r="68" s="133" customFormat="1" ht="15">
      <c r="A68" s="134"/>
    </row>
    <row r="69" s="133" customFormat="1" ht="15">
      <c r="A69" s="134"/>
    </row>
  </sheetData>
  <sheetProtection/>
  <mergeCells count="14">
    <mergeCell ref="A28:F28"/>
    <mergeCell ref="A37:F37"/>
    <mergeCell ref="A11:A12"/>
    <mergeCell ref="B11:B12"/>
    <mergeCell ref="C11:C12"/>
    <mergeCell ref="D11:D12"/>
    <mergeCell ref="C6:F6"/>
    <mergeCell ref="A7:F7"/>
    <mergeCell ref="E11:F11"/>
    <mergeCell ref="A14:F14"/>
    <mergeCell ref="D2:F2"/>
    <mergeCell ref="D3:F3"/>
    <mergeCell ref="D4:F4"/>
    <mergeCell ref="D5:F5"/>
  </mergeCells>
  <printOptions/>
  <pageMargins left="0.75" right="0.32" top="0.393700787401575" bottom="0.23999999999999996" header="0" footer="0"/>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P147"/>
  <sheetViews>
    <sheetView showZeros="0" tabSelected="1" zoomScale="70" zoomScaleNormal="70" zoomScalePageLayoutView="0" workbookViewId="0" topLeftCell="A11">
      <pane xSplit="4" ySplit="5" topLeftCell="E79" activePane="bottomRight" state="frozen"/>
      <selection pane="topLeft" activeCell="A11" sqref="A11"/>
      <selection pane="topRight" activeCell="E11" sqref="E11"/>
      <selection pane="bottomLeft" activeCell="A16" sqref="A16"/>
      <selection pane="bottomRight" activeCell="D29" sqref="D29"/>
    </sheetView>
  </sheetViews>
  <sheetFormatPr defaultColWidth="9.00390625" defaultRowHeight="12.75"/>
  <cols>
    <col min="1" max="1" width="12.75390625" style="35" customWidth="1"/>
    <col min="2" max="2" width="12.125" style="36" customWidth="1"/>
    <col min="3" max="3" width="12.625" style="36" customWidth="1"/>
    <col min="4" max="4" width="71.125" style="32" customWidth="1"/>
    <col min="5" max="5" width="19.75390625" style="1" customWidth="1"/>
    <col min="6" max="6" width="19.125" style="1" customWidth="1"/>
    <col min="7" max="7" width="17.875" style="1" customWidth="1"/>
    <col min="8" max="8" width="16.75390625" style="1" customWidth="1"/>
    <col min="9" max="9" width="15.75390625" style="1" customWidth="1"/>
    <col min="10" max="11" width="15.375" style="1" customWidth="1"/>
    <col min="12" max="12" width="14.125" style="1" customWidth="1"/>
    <col min="13" max="13" width="12.00390625" style="1" customWidth="1"/>
    <col min="14" max="14" width="13.125" style="1" customWidth="1"/>
    <col min="15" max="15" width="12.75390625" style="1" customWidth="1"/>
    <col min="16" max="16" width="19.375" style="1" customWidth="1"/>
    <col min="17" max="17" width="9.125" style="5" bestFit="1" customWidth="1"/>
    <col min="18" max="16384" width="9.125" style="5" customWidth="1"/>
  </cols>
  <sheetData>
    <row r="1" spans="12:16" ht="23.25" customHeight="1">
      <c r="L1" s="34"/>
      <c r="M1" s="235" t="s">
        <v>394</v>
      </c>
      <c r="N1" s="235"/>
      <c r="O1" s="235"/>
      <c r="P1" s="235"/>
    </row>
    <row r="2" spans="4:16" ht="21" customHeight="1">
      <c r="D2" s="5"/>
      <c r="L2" s="34"/>
      <c r="M2" s="235" t="str">
        <f>додаток1!D2</f>
        <v>до рішення сімнадцятої сесії Тетіївської міської ради</v>
      </c>
      <c r="N2" s="235"/>
      <c r="O2" s="235"/>
      <c r="P2" s="235"/>
    </row>
    <row r="3" spans="4:16" ht="33.75" customHeight="1">
      <c r="D3" s="31"/>
      <c r="L3" s="39">
        <f>додаток1!C3</f>
        <v>0</v>
      </c>
      <c r="M3" s="236" t="str">
        <f>додаток1!D3</f>
        <v>"Про бюджет Тетіївської міської територіальної громади на 2023 рік" від 20.12.2022 № 772-17-VIII</v>
      </c>
      <c r="N3" s="236"/>
      <c r="O3" s="236"/>
      <c r="P3" s="236"/>
    </row>
    <row r="4" spans="12:16" ht="37.5" customHeight="1">
      <c r="L4" s="97">
        <f>додаток1!C4</f>
        <v>0</v>
      </c>
      <c r="M4" s="238" t="str">
        <f>додаток1!D4</f>
        <v>(в редакції рішення дев'ятнадцятої сесії Тетіївської міської ради від 11.04.2023 № 885-19-VIII)</v>
      </c>
      <c r="N4" s="238"/>
      <c r="O4" s="238"/>
      <c r="P4" s="238"/>
    </row>
    <row r="5" spans="1:16" s="109" customFormat="1" ht="21" customHeight="1">
      <c r="A5" s="113"/>
      <c r="B5" s="114"/>
      <c r="C5" s="114"/>
      <c r="D5" s="115"/>
      <c r="E5" s="116"/>
      <c r="F5" s="116"/>
      <c r="G5" s="116"/>
      <c r="H5" s="116"/>
      <c r="I5" s="116"/>
      <c r="J5" s="116"/>
      <c r="K5" s="116"/>
      <c r="L5" s="237">
        <f>додаток1!C5</f>
        <v>0</v>
      </c>
      <c r="M5" s="237"/>
      <c r="N5" s="237"/>
      <c r="O5" s="237"/>
      <c r="P5" s="237"/>
    </row>
    <row r="6" spans="1:16" s="109" customFormat="1" ht="18" customHeight="1">
      <c r="A6" s="113"/>
      <c r="B6" s="114"/>
      <c r="C6" s="114"/>
      <c r="D6" s="115"/>
      <c r="E6" s="116"/>
      <c r="F6" s="116"/>
      <c r="G6" s="116"/>
      <c r="H6" s="116"/>
      <c r="I6" s="116"/>
      <c r="J6" s="136"/>
      <c r="K6" s="136"/>
      <c r="L6" s="205"/>
      <c r="M6" s="205"/>
      <c r="N6" s="205"/>
      <c r="O6" s="205"/>
      <c r="P6" s="205"/>
    </row>
    <row r="7" spans="1:16" s="138" customFormat="1" ht="21.75" customHeight="1">
      <c r="A7" s="137"/>
      <c r="B7" s="240" t="s">
        <v>233</v>
      </c>
      <c r="C7" s="240"/>
      <c r="D7" s="241"/>
      <c r="E7" s="241"/>
      <c r="F7" s="241"/>
      <c r="G7" s="241"/>
      <c r="H7" s="241"/>
      <c r="I7" s="241"/>
      <c r="J7" s="241"/>
      <c r="K7" s="241"/>
      <c r="L7" s="241"/>
      <c r="M7" s="241"/>
      <c r="N7" s="241"/>
      <c r="O7" s="241"/>
      <c r="P7" s="241"/>
    </row>
    <row r="8" spans="1:16" s="138" customFormat="1" ht="25.5" customHeight="1">
      <c r="A8" s="242">
        <f>додаток1!A8</f>
        <v>10508000000</v>
      </c>
      <c r="B8" s="242"/>
      <c r="C8" s="139"/>
      <c r="D8" s="140"/>
      <c r="E8" s="140"/>
      <c r="F8" s="140"/>
      <c r="G8" s="140"/>
      <c r="H8" s="140"/>
      <c r="I8" s="140"/>
      <c r="J8" s="140"/>
      <c r="K8" s="140"/>
      <c r="L8" s="140"/>
      <c r="M8" s="140"/>
      <c r="N8" s="140"/>
      <c r="O8" s="140"/>
      <c r="P8" s="140"/>
    </row>
    <row r="9" spans="1:16" s="138" customFormat="1" ht="25.5" customHeight="1">
      <c r="A9" s="243" t="s">
        <v>281</v>
      </c>
      <c r="B9" s="243"/>
      <c r="C9" s="29"/>
      <c r="D9" s="141"/>
      <c r="E9" s="141"/>
      <c r="F9" s="141"/>
      <c r="G9" s="141"/>
      <c r="H9" s="141"/>
      <c r="I9" s="141"/>
      <c r="J9" s="141"/>
      <c r="K9" s="141"/>
      <c r="L9" s="141"/>
      <c r="M9" s="141"/>
      <c r="N9" s="141"/>
      <c r="O9" s="141"/>
      <c r="P9" s="141"/>
    </row>
    <row r="10" spans="1:16" s="109" customFormat="1" ht="37.5" customHeight="1">
      <c r="A10" s="113"/>
      <c r="B10" s="114"/>
      <c r="C10" s="114"/>
      <c r="D10" s="115"/>
      <c r="E10" s="116"/>
      <c r="F10" s="116"/>
      <c r="G10" s="116"/>
      <c r="H10" s="116"/>
      <c r="I10" s="116"/>
      <c r="J10" s="116"/>
      <c r="K10" s="116"/>
      <c r="L10" s="116"/>
      <c r="M10" s="116"/>
      <c r="N10" s="116"/>
      <c r="O10" s="116"/>
      <c r="P10" s="142" t="s">
        <v>282</v>
      </c>
    </row>
    <row r="11" spans="1:16" s="143" customFormat="1" ht="32.25" customHeight="1">
      <c r="A11" s="248" t="s">
        <v>395</v>
      </c>
      <c r="B11" s="251" t="s">
        <v>396</v>
      </c>
      <c r="C11" s="252" t="s">
        <v>397</v>
      </c>
      <c r="D11" s="239" t="s">
        <v>398</v>
      </c>
      <c r="E11" s="244" t="s">
        <v>286</v>
      </c>
      <c r="F11" s="245"/>
      <c r="G11" s="245"/>
      <c r="H11" s="245"/>
      <c r="I11" s="246"/>
      <c r="J11" s="239" t="s">
        <v>399</v>
      </c>
      <c r="K11" s="239"/>
      <c r="L11" s="239"/>
      <c r="M11" s="239"/>
      <c r="N11" s="239"/>
      <c r="O11" s="239"/>
      <c r="P11" s="239" t="s">
        <v>400</v>
      </c>
    </row>
    <row r="12" spans="1:16" s="143" customFormat="1" ht="12.75" customHeight="1">
      <c r="A12" s="249"/>
      <c r="B12" s="251"/>
      <c r="C12" s="252"/>
      <c r="D12" s="239"/>
      <c r="E12" s="239" t="s">
        <v>285</v>
      </c>
      <c r="F12" s="232" t="s">
        <v>401</v>
      </c>
      <c r="G12" s="239" t="s">
        <v>402</v>
      </c>
      <c r="H12" s="239"/>
      <c r="I12" s="232" t="s">
        <v>403</v>
      </c>
      <c r="J12" s="239" t="s">
        <v>285</v>
      </c>
      <c r="K12" s="232" t="s">
        <v>404</v>
      </c>
      <c r="L12" s="232" t="s">
        <v>401</v>
      </c>
      <c r="M12" s="239" t="s">
        <v>402</v>
      </c>
      <c r="N12" s="239"/>
      <c r="O12" s="232" t="s">
        <v>403</v>
      </c>
      <c r="P12" s="239"/>
    </row>
    <row r="13" spans="1:16" s="143" customFormat="1" ht="47.25" customHeight="1">
      <c r="A13" s="249"/>
      <c r="B13" s="251"/>
      <c r="C13" s="252"/>
      <c r="D13" s="239"/>
      <c r="E13" s="239"/>
      <c r="F13" s="233"/>
      <c r="G13" s="239" t="s">
        <v>405</v>
      </c>
      <c r="H13" s="239" t="s">
        <v>406</v>
      </c>
      <c r="I13" s="233"/>
      <c r="J13" s="239"/>
      <c r="K13" s="233"/>
      <c r="L13" s="233"/>
      <c r="M13" s="239" t="s">
        <v>405</v>
      </c>
      <c r="N13" s="239" t="s">
        <v>406</v>
      </c>
      <c r="O13" s="233"/>
      <c r="P13" s="239"/>
    </row>
    <row r="14" spans="1:16" s="143" customFormat="1" ht="67.5" customHeight="1">
      <c r="A14" s="250"/>
      <c r="B14" s="251"/>
      <c r="C14" s="252"/>
      <c r="D14" s="239"/>
      <c r="E14" s="239"/>
      <c r="F14" s="234"/>
      <c r="G14" s="239"/>
      <c r="H14" s="239"/>
      <c r="I14" s="234"/>
      <c r="J14" s="239"/>
      <c r="K14" s="234"/>
      <c r="L14" s="234"/>
      <c r="M14" s="239"/>
      <c r="N14" s="239"/>
      <c r="O14" s="234"/>
      <c r="P14" s="239"/>
    </row>
    <row r="15" spans="1:16" s="138" customFormat="1" ht="15">
      <c r="A15" s="144">
        <v>1</v>
      </c>
      <c r="B15" s="145">
        <v>2</v>
      </c>
      <c r="C15" s="145" t="s">
        <v>407</v>
      </c>
      <c r="D15" s="129">
        <v>4</v>
      </c>
      <c r="E15" s="129">
        <v>5</v>
      </c>
      <c r="F15" s="129">
        <v>6</v>
      </c>
      <c r="G15" s="129">
        <v>7</v>
      </c>
      <c r="H15" s="129">
        <v>8</v>
      </c>
      <c r="I15" s="129">
        <v>9</v>
      </c>
      <c r="J15" s="129">
        <v>10</v>
      </c>
      <c r="K15" s="129">
        <v>11</v>
      </c>
      <c r="L15" s="129">
        <v>12</v>
      </c>
      <c r="M15" s="129">
        <v>13</v>
      </c>
      <c r="N15" s="129">
        <v>14</v>
      </c>
      <c r="O15" s="129">
        <v>15</v>
      </c>
      <c r="P15" s="129">
        <v>16</v>
      </c>
    </row>
    <row r="16" spans="1:16" s="109" customFormat="1" ht="25.5" customHeight="1">
      <c r="A16" s="146" t="s">
        <v>408</v>
      </c>
      <c r="B16" s="146"/>
      <c r="C16" s="146"/>
      <c r="D16" s="147" t="s">
        <v>409</v>
      </c>
      <c r="E16" s="101">
        <f>E17</f>
        <v>63270664</v>
      </c>
      <c r="F16" s="101">
        <f aca="true" t="shared" si="0" ref="F16:P16">F17</f>
        <v>41668194</v>
      </c>
      <c r="G16" s="101">
        <f t="shared" si="0"/>
        <v>22830700</v>
      </c>
      <c r="H16" s="101">
        <f t="shared" si="0"/>
        <v>1770400</v>
      </c>
      <c r="I16" s="101">
        <f t="shared" si="0"/>
        <v>21602470</v>
      </c>
      <c r="J16" s="101">
        <f t="shared" si="0"/>
        <v>3072525</v>
      </c>
      <c r="K16" s="101">
        <f t="shared" si="0"/>
        <v>2045310</v>
      </c>
      <c r="L16" s="101">
        <f t="shared" si="0"/>
        <v>927215</v>
      </c>
      <c r="M16" s="101">
        <f t="shared" si="0"/>
        <v>0</v>
      </c>
      <c r="N16" s="101">
        <f t="shared" si="0"/>
        <v>0</v>
      </c>
      <c r="O16" s="101">
        <f t="shared" si="0"/>
        <v>2145310</v>
      </c>
      <c r="P16" s="101">
        <f t="shared" si="0"/>
        <v>66343189</v>
      </c>
    </row>
    <row r="17" spans="1:16" s="109" customFormat="1" ht="25.5" customHeight="1">
      <c r="A17" s="146" t="s">
        <v>410</v>
      </c>
      <c r="B17" s="146"/>
      <c r="C17" s="146"/>
      <c r="D17" s="147" t="s">
        <v>409</v>
      </c>
      <c r="E17" s="101">
        <f aca="true" t="shared" si="1" ref="E17:P17">E18+E21+E25+E29+E34+E44+E49</f>
        <v>63270664</v>
      </c>
      <c r="F17" s="101">
        <f t="shared" si="1"/>
        <v>41668194</v>
      </c>
      <c r="G17" s="101">
        <f t="shared" si="1"/>
        <v>22830700</v>
      </c>
      <c r="H17" s="101">
        <f t="shared" si="1"/>
        <v>1770400</v>
      </c>
      <c r="I17" s="101">
        <f t="shared" si="1"/>
        <v>21602470</v>
      </c>
      <c r="J17" s="101">
        <f t="shared" si="1"/>
        <v>3072525</v>
      </c>
      <c r="K17" s="101">
        <f t="shared" si="1"/>
        <v>2045310</v>
      </c>
      <c r="L17" s="101">
        <f t="shared" si="1"/>
        <v>927215</v>
      </c>
      <c r="M17" s="101">
        <f t="shared" si="1"/>
        <v>0</v>
      </c>
      <c r="N17" s="101">
        <f t="shared" si="1"/>
        <v>0</v>
      </c>
      <c r="O17" s="101">
        <f t="shared" si="1"/>
        <v>2145310</v>
      </c>
      <c r="P17" s="101">
        <f t="shared" si="1"/>
        <v>66343189</v>
      </c>
    </row>
    <row r="18" spans="1:16" s="109" customFormat="1" ht="25.5" customHeight="1">
      <c r="A18" s="146"/>
      <c r="B18" s="146" t="s">
        <v>89</v>
      </c>
      <c r="C18" s="146"/>
      <c r="D18" s="147" t="s">
        <v>90</v>
      </c>
      <c r="E18" s="101">
        <f>SUM(E19:E20)</f>
        <v>30049831</v>
      </c>
      <c r="F18" s="101">
        <f aca="true" t="shared" si="2" ref="F18:P18">SUM(F19:F20)</f>
        <v>30049831</v>
      </c>
      <c r="G18" s="101">
        <f t="shared" si="2"/>
        <v>22830700</v>
      </c>
      <c r="H18" s="101">
        <f t="shared" si="2"/>
        <v>1770400</v>
      </c>
      <c r="I18" s="101">
        <f t="shared" si="2"/>
        <v>0</v>
      </c>
      <c r="J18" s="101">
        <f t="shared" si="2"/>
        <v>503600</v>
      </c>
      <c r="K18" s="101">
        <f t="shared" si="2"/>
        <v>0</v>
      </c>
      <c r="L18" s="101">
        <f t="shared" si="2"/>
        <v>503600</v>
      </c>
      <c r="M18" s="101">
        <f t="shared" si="2"/>
        <v>0</v>
      </c>
      <c r="N18" s="101">
        <f t="shared" si="2"/>
        <v>0</v>
      </c>
      <c r="O18" s="101">
        <f t="shared" si="2"/>
        <v>0</v>
      </c>
      <c r="P18" s="101">
        <f t="shared" si="2"/>
        <v>30553431</v>
      </c>
    </row>
    <row r="19" spans="1:16" s="110" customFormat="1" ht="78.75" customHeight="1">
      <c r="A19" s="6" t="s">
        <v>411</v>
      </c>
      <c r="B19" s="6" t="s">
        <v>412</v>
      </c>
      <c r="C19" s="6" t="s">
        <v>413</v>
      </c>
      <c r="D19" s="102" t="s">
        <v>414</v>
      </c>
      <c r="E19" s="37">
        <f>F19+I19</f>
        <v>29722466</v>
      </c>
      <c r="F19" s="37">
        <f>29379800+342666</f>
        <v>29722466</v>
      </c>
      <c r="G19" s="37">
        <v>22690000</v>
      </c>
      <c r="H19" s="37">
        <v>1770400</v>
      </c>
      <c r="I19" s="37"/>
      <c r="J19" s="37">
        <f>L19+O19</f>
        <v>500000</v>
      </c>
      <c r="K19" s="37"/>
      <c r="L19" s="37">
        <v>500000</v>
      </c>
      <c r="M19" s="37"/>
      <c r="N19" s="37"/>
      <c r="O19" s="37"/>
      <c r="P19" s="37">
        <f aca="true" t="shared" si="3" ref="P19:P43">J19+E19</f>
        <v>30222466</v>
      </c>
    </row>
    <row r="20" spans="1:16" s="110" customFormat="1" ht="27" customHeight="1">
      <c r="A20" s="6" t="s">
        <v>415</v>
      </c>
      <c r="B20" s="6" t="s">
        <v>416</v>
      </c>
      <c r="C20" s="6" t="s">
        <v>417</v>
      </c>
      <c r="D20" s="38" t="s">
        <v>418</v>
      </c>
      <c r="E20" s="37">
        <f>F20+I20</f>
        <v>327365</v>
      </c>
      <c r="F20" s="37">
        <f>50000+171700+50000+50000+5665</f>
        <v>327365</v>
      </c>
      <c r="G20" s="37">
        <v>140700</v>
      </c>
      <c r="H20" s="37"/>
      <c r="I20" s="37"/>
      <c r="J20" s="37">
        <f aca="true" t="shared" si="4" ref="J20:J43">L20+O20</f>
        <v>3600</v>
      </c>
      <c r="K20" s="37"/>
      <c r="L20" s="37">
        <f>3600</f>
        <v>3600</v>
      </c>
      <c r="M20" s="37"/>
      <c r="N20" s="37"/>
      <c r="O20" s="37"/>
      <c r="P20" s="37">
        <f t="shared" si="3"/>
        <v>330965</v>
      </c>
    </row>
    <row r="21" spans="1:16" s="111" customFormat="1" ht="27" customHeight="1">
      <c r="A21" s="103"/>
      <c r="B21" s="103" t="s">
        <v>91</v>
      </c>
      <c r="C21" s="103"/>
      <c r="D21" s="104" t="s">
        <v>93</v>
      </c>
      <c r="E21" s="105">
        <f aca="true" t="shared" si="5" ref="E21:P21">SUM(E22:E24)</f>
        <v>9328038</v>
      </c>
      <c r="F21" s="105">
        <f t="shared" si="5"/>
        <v>9328038</v>
      </c>
      <c r="G21" s="105">
        <f t="shared" si="5"/>
        <v>0</v>
      </c>
      <c r="H21" s="105">
        <f t="shared" si="5"/>
        <v>0</v>
      </c>
      <c r="I21" s="105">
        <f t="shared" si="5"/>
        <v>0</v>
      </c>
      <c r="J21" s="105">
        <f t="shared" si="5"/>
        <v>0</v>
      </c>
      <c r="K21" s="105">
        <f t="shared" si="5"/>
        <v>0</v>
      </c>
      <c r="L21" s="105">
        <f t="shared" si="5"/>
        <v>0</v>
      </c>
      <c r="M21" s="105">
        <f t="shared" si="5"/>
        <v>0</v>
      </c>
      <c r="N21" s="105">
        <f t="shared" si="5"/>
        <v>0</v>
      </c>
      <c r="O21" s="105">
        <f t="shared" si="5"/>
        <v>0</v>
      </c>
      <c r="P21" s="105">
        <f t="shared" si="5"/>
        <v>9328038</v>
      </c>
    </row>
    <row r="22" spans="1:16" s="110" customFormat="1" ht="43.5" customHeight="1">
      <c r="A22" s="6" t="s">
        <v>419</v>
      </c>
      <c r="B22" s="6" t="s">
        <v>420</v>
      </c>
      <c r="C22" s="6" t="s">
        <v>421</v>
      </c>
      <c r="D22" s="102" t="s">
        <v>422</v>
      </c>
      <c r="E22" s="37">
        <f>F22+I22</f>
        <v>5860000</v>
      </c>
      <c r="F22" s="37">
        <v>5860000</v>
      </c>
      <c r="G22" s="37"/>
      <c r="H22" s="37"/>
      <c r="I22" s="37"/>
      <c r="J22" s="37">
        <f t="shared" si="4"/>
        <v>0</v>
      </c>
      <c r="K22" s="37">
        <f>763597-763597</f>
        <v>0</v>
      </c>
      <c r="L22" s="37">
        <f>32542.6-32542.6</f>
        <v>0</v>
      </c>
      <c r="M22" s="37"/>
      <c r="N22" s="37"/>
      <c r="O22" s="37">
        <f>763597-763597</f>
        <v>0</v>
      </c>
      <c r="P22" s="37">
        <f t="shared" si="3"/>
        <v>5860000</v>
      </c>
    </row>
    <row r="23" spans="1:16" s="110" customFormat="1" ht="51.75" customHeight="1">
      <c r="A23" s="6" t="s">
        <v>423</v>
      </c>
      <c r="B23" s="6" t="s">
        <v>424</v>
      </c>
      <c r="C23" s="6" t="s">
        <v>425</v>
      </c>
      <c r="D23" s="38" t="s">
        <v>426</v>
      </c>
      <c r="E23" s="37">
        <f>F23+I23</f>
        <v>1488000</v>
      </c>
      <c r="F23" s="37">
        <v>1488000</v>
      </c>
      <c r="G23" s="37"/>
      <c r="H23" s="37"/>
      <c r="I23" s="37"/>
      <c r="J23" s="37">
        <f t="shared" si="4"/>
        <v>0</v>
      </c>
      <c r="K23" s="37"/>
      <c r="L23" s="37">
        <f>544.2-544.2</f>
        <v>0</v>
      </c>
      <c r="M23" s="37"/>
      <c r="N23" s="37"/>
      <c r="O23" s="37"/>
      <c r="P23" s="37">
        <f t="shared" si="3"/>
        <v>1488000</v>
      </c>
    </row>
    <row r="24" spans="1:16" s="110" customFormat="1" ht="35.25" customHeight="1">
      <c r="A24" s="6" t="s">
        <v>94</v>
      </c>
      <c r="B24" s="6" t="s">
        <v>96</v>
      </c>
      <c r="C24" s="6" t="s">
        <v>427</v>
      </c>
      <c r="D24" s="38" t="s">
        <v>95</v>
      </c>
      <c r="E24" s="37">
        <f>F24+I24</f>
        <v>1980038</v>
      </c>
      <c r="F24" s="37">
        <f>246000+1182100+25438+344500+50000+132000</f>
        <v>1980038</v>
      </c>
      <c r="G24" s="37"/>
      <c r="H24" s="37"/>
      <c r="I24" s="37"/>
      <c r="J24" s="37">
        <f>L24+O24</f>
        <v>0</v>
      </c>
      <c r="K24" s="37"/>
      <c r="L24" s="37"/>
      <c r="M24" s="37"/>
      <c r="N24" s="37"/>
      <c r="O24" s="37"/>
      <c r="P24" s="37">
        <f>J24+E24</f>
        <v>1980038</v>
      </c>
    </row>
    <row r="25" spans="1:16" s="111" customFormat="1" ht="35.25" customHeight="1">
      <c r="A25" s="103"/>
      <c r="B25" s="103" t="s">
        <v>97</v>
      </c>
      <c r="C25" s="103"/>
      <c r="D25" s="104" t="s">
        <v>98</v>
      </c>
      <c r="E25" s="105">
        <f aca="true" t="shared" si="6" ref="E25:P25">SUM(E26:E28)</f>
        <v>98075</v>
      </c>
      <c r="F25" s="105">
        <f t="shared" si="6"/>
        <v>98075</v>
      </c>
      <c r="G25" s="105">
        <f t="shared" si="6"/>
        <v>0</v>
      </c>
      <c r="H25" s="105">
        <f t="shared" si="6"/>
        <v>0</v>
      </c>
      <c r="I25" s="105">
        <f t="shared" si="6"/>
        <v>0</v>
      </c>
      <c r="J25" s="105">
        <f t="shared" si="6"/>
        <v>0</v>
      </c>
      <c r="K25" s="105">
        <f t="shared" si="6"/>
        <v>0</v>
      </c>
      <c r="L25" s="105">
        <f t="shared" si="6"/>
        <v>0</v>
      </c>
      <c r="M25" s="105">
        <f t="shared" si="6"/>
        <v>0</v>
      </c>
      <c r="N25" s="105">
        <f t="shared" si="6"/>
        <v>0</v>
      </c>
      <c r="O25" s="105">
        <f t="shared" si="6"/>
        <v>0</v>
      </c>
      <c r="P25" s="105">
        <f t="shared" si="6"/>
        <v>98075</v>
      </c>
    </row>
    <row r="26" spans="1:16" s="110" customFormat="1" ht="42.75" customHeight="1">
      <c r="A26" s="6" t="s">
        <v>204</v>
      </c>
      <c r="B26" s="6" t="s">
        <v>205</v>
      </c>
      <c r="C26" s="6" t="s">
        <v>430</v>
      </c>
      <c r="D26" s="102" t="s">
        <v>206</v>
      </c>
      <c r="E26" s="37">
        <f>F26+I26</f>
        <v>98075</v>
      </c>
      <c r="F26" s="37">
        <f>50000+48075</f>
        <v>98075</v>
      </c>
      <c r="G26" s="37"/>
      <c r="H26" s="37"/>
      <c r="I26" s="37"/>
      <c r="J26" s="37">
        <f>L26+O26</f>
        <v>0</v>
      </c>
      <c r="K26" s="37"/>
      <c r="L26" s="37"/>
      <c r="M26" s="37"/>
      <c r="N26" s="37"/>
      <c r="O26" s="37"/>
      <c r="P26" s="37">
        <f>J26+E26</f>
        <v>98075</v>
      </c>
    </row>
    <row r="27" spans="1:16" s="110" customFormat="1" ht="79.5" customHeight="1" hidden="1">
      <c r="A27" s="6" t="s">
        <v>101</v>
      </c>
      <c r="B27" s="6" t="s">
        <v>102</v>
      </c>
      <c r="C27" s="6" t="s">
        <v>430</v>
      </c>
      <c r="D27" s="38" t="s">
        <v>103</v>
      </c>
      <c r="E27" s="37">
        <f>F27+I27</f>
        <v>0</v>
      </c>
      <c r="F27" s="37"/>
      <c r="G27" s="37"/>
      <c r="H27" s="37"/>
      <c r="I27" s="37"/>
      <c r="J27" s="37">
        <f>L27+O27</f>
        <v>0</v>
      </c>
      <c r="K27" s="37"/>
      <c r="L27" s="37"/>
      <c r="M27" s="37"/>
      <c r="N27" s="37"/>
      <c r="O27" s="37"/>
      <c r="P27" s="37">
        <f>J27+E27</f>
        <v>0</v>
      </c>
    </row>
    <row r="28" spans="1:16" s="110" customFormat="1" ht="42.75" customHeight="1" hidden="1">
      <c r="A28" s="6" t="s">
        <v>433</v>
      </c>
      <c r="B28" s="6" t="s">
        <v>434</v>
      </c>
      <c r="C28" s="6" t="s">
        <v>432</v>
      </c>
      <c r="D28" s="38" t="s">
        <v>435</v>
      </c>
      <c r="E28" s="37">
        <f>F28+I28</f>
        <v>0</v>
      </c>
      <c r="F28" s="37"/>
      <c r="G28" s="37"/>
      <c r="H28" s="37"/>
      <c r="I28" s="37"/>
      <c r="J28" s="37">
        <f t="shared" si="4"/>
        <v>0</v>
      </c>
      <c r="K28" s="37"/>
      <c r="L28" s="37"/>
      <c r="M28" s="37"/>
      <c r="N28" s="37"/>
      <c r="O28" s="37"/>
      <c r="P28" s="37">
        <f t="shared" si="3"/>
        <v>0</v>
      </c>
    </row>
    <row r="29" spans="1:16" s="111" customFormat="1" ht="42.75" customHeight="1">
      <c r="A29" s="103"/>
      <c r="B29" s="103" t="s">
        <v>106</v>
      </c>
      <c r="C29" s="103"/>
      <c r="D29" s="104" t="s">
        <v>107</v>
      </c>
      <c r="E29" s="105">
        <f>SUM(E30:E33)</f>
        <v>20511170</v>
      </c>
      <c r="F29" s="105">
        <f aca="true" t="shared" si="7" ref="F29:P29">SUM(F30:F33)</f>
        <v>0</v>
      </c>
      <c r="G29" s="105">
        <f t="shared" si="7"/>
        <v>0</v>
      </c>
      <c r="H29" s="105">
        <f t="shared" si="7"/>
        <v>0</v>
      </c>
      <c r="I29" s="105">
        <f t="shared" si="7"/>
        <v>20511170</v>
      </c>
      <c r="J29" s="105">
        <f t="shared" si="7"/>
        <v>1044010</v>
      </c>
      <c r="K29" s="105">
        <f t="shared" si="7"/>
        <v>1044010</v>
      </c>
      <c r="L29" s="105">
        <f t="shared" si="7"/>
        <v>0</v>
      </c>
      <c r="M29" s="105">
        <f t="shared" si="7"/>
        <v>0</v>
      </c>
      <c r="N29" s="105">
        <f t="shared" si="7"/>
        <v>0</v>
      </c>
      <c r="O29" s="105">
        <f t="shared" si="7"/>
        <v>1044010</v>
      </c>
      <c r="P29" s="105">
        <f t="shared" si="7"/>
        <v>21555180</v>
      </c>
    </row>
    <row r="30" spans="1:16" s="110" customFormat="1" ht="33" customHeight="1">
      <c r="A30" s="6" t="s">
        <v>436</v>
      </c>
      <c r="B30" s="6" t="s">
        <v>437</v>
      </c>
      <c r="C30" s="6" t="s">
        <v>438</v>
      </c>
      <c r="D30" s="102" t="s">
        <v>439</v>
      </c>
      <c r="E30" s="37">
        <f>F30+I30</f>
        <v>3299440</v>
      </c>
      <c r="F30" s="37"/>
      <c r="G30" s="37"/>
      <c r="H30" s="37"/>
      <c r="I30" s="37">
        <f>3000000+267300+32140</f>
        <v>3299440</v>
      </c>
      <c r="J30" s="37">
        <f t="shared" si="4"/>
        <v>48800</v>
      </c>
      <c r="K30" s="37">
        <f>48800</f>
        <v>48800</v>
      </c>
      <c r="L30" s="37"/>
      <c r="M30" s="37"/>
      <c r="N30" s="37"/>
      <c r="O30" s="37">
        <f>48800</f>
        <v>48800</v>
      </c>
      <c r="P30" s="37">
        <f t="shared" si="3"/>
        <v>3348240</v>
      </c>
    </row>
    <row r="31" spans="1:16" s="110" customFormat="1" ht="40.5" customHeight="1" hidden="1">
      <c r="A31" s="6" t="s">
        <v>170</v>
      </c>
      <c r="B31" s="6" t="s">
        <v>171</v>
      </c>
      <c r="C31" s="6" t="s">
        <v>438</v>
      </c>
      <c r="D31" s="102" t="s">
        <v>172</v>
      </c>
      <c r="E31" s="37">
        <f>F31+I31</f>
        <v>0</v>
      </c>
      <c r="F31" s="37"/>
      <c r="G31" s="37"/>
      <c r="H31" s="37"/>
      <c r="I31" s="37"/>
      <c r="J31" s="37">
        <f>L31+O31</f>
        <v>0</v>
      </c>
      <c r="K31" s="37"/>
      <c r="L31" s="37"/>
      <c r="M31" s="37"/>
      <c r="N31" s="37"/>
      <c r="O31" s="37"/>
      <c r="P31" s="37">
        <f>J31+E31</f>
        <v>0</v>
      </c>
    </row>
    <row r="32" spans="1:16" s="110" customFormat="1" ht="24.75" customHeight="1">
      <c r="A32" s="6" t="s">
        <v>440</v>
      </c>
      <c r="B32" s="6" t="s">
        <v>441</v>
      </c>
      <c r="C32" s="6" t="s">
        <v>438</v>
      </c>
      <c r="D32" s="102" t="s">
        <v>442</v>
      </c>
      <c r="E32" s="37">
        <f>F32+I32</f>
        <v>17211730</v>
      </c>
      <c r="F32" s="37"/>
      <c r="G32" s="37"/>
      <c r="H32" s="37"/>
      <c r="I32" s="37">
        <f>10070000+6200000+230000+636730+75000</f>
        <v>17211730</v>
      </c>
      <c r="J32" s="37">
        <f t="shared" si="4"/>
        <v>995210</v>
      </c>
      <c r="K32" s="37">
        <f>675464+45210+274536</f>
        <v>995210</v>
      </c>
      <c r="L32" s="37"/>
      <c r="M32" s="37"/>
      <c r="N32" s="37"/>
      <c r="O32" s="37">
        <f>675464+45210+274536</f>
        <v>995210</v>
      </c>
      <c r="P32" s="37">
        <f t="shared" si="3"/>
        <v>18206940</v>
      </c>
    </row>
    <row r="33" spans="1:16" s="110" customFormat="1" ht="112.5" customHeight="1" hidden="1">
      <c r="A33" s="6" t="s">
        <v>167</v>
      </c>
      <c r="B33" s="6" t="s">
        <v>168</v>
      </c>
      <c r="C33" s="6" t="s">
        <v>166</v>
      </c>
      <c r="D33" s="102" t="s">
        <v>169</v>
      </c>
      <c r="E33" s="37">
        <f>F33+I33</f>
        <v>0</v>
      </c>
      <c r="F33" s="37"/>
      <c r="G33" s="37"/>
      <c r="H33" s="37"/>
      <c r="I33" s="37"/>
      <c r="J33" s="37">
        <f t="shared" si="4"/>
        <v>0</v>
      </c>
      <c r="K33" s="37">
        <f>300000-300000</f>
        <v>0</v>
      </c>
      <c r="L33" s="37"/>
      <c r="M33" s="37"/>
      <c r="N33" s="37"/>
      <c r="O33" s="37">
        <f>300000-300000</f>
        <v>0</v>
      </c>
      <c r="P33" s="37">
        <f t="shared" si="3"/>
        <v>0</v>
      </c>
    </row>
    <row r="34" spans="1:16" s="111" customFormat="1" ht="33.75" customHeight="1">
      <c r="A34" s="103"/>
      <c r="B34" s="103" t="s">
        <v>108</v>
      </c>
      <c r="C34" s="103"/>
      <c r="D34" s="148" t="s">
        <v>109</v>
      </c>
      <c r="E34" s="105">
        <f>SUM(E35:E43)</f>
        <v>2363550</v>
      </c>
      <c r="F34" s="105">
        <f aca="true" t="shared" si="8" ref="F34:P34">SUM(F35:F43)</f>
        <v>1272250</v>
      </c>
      <c r="G34" s="105">
        <f t="shared" si="8"/>
        <v>0</v>
      </c>
      <c r="H34" s="105">
        <f t="shared" si="8"/>
        <v>0</v>
      </c>
      <c r="I34" s="105">
        <f t="shared" si="8"/>
        <v>1091300</v>
      </c>
      <c r="J34" s="105">
        <f t="shared" si="8"/>
        <v>1170915</v>
      </c>
      <c r="K34" s="105">
        <f t="shared" si="8"/>
        <v>802300</v>
      </c>
      <c r="L34" s="105">
        <f t="shared" si="8"/>
        <v>368615</v>
      </c>
      <c r="M34" s="105">
        <f t="shared" si="8"/>
        <v>0</v>
      </c>
      <c r="N34" s="105">
        <f t="shared" si="8"/>
        <v>0</v>
      </c>
      <c r="O34" s="105">
        <f t="shared" si="8"/>
        <v>802300</v>
      </c>
      <c r="P34" s="105">
        <f t="shared" si="8"/>
        <v>3534465</v>
      </c>
    </row>
    <row r="35" spans="1:16" s="110" customFormat="1" ht="26.25" customHeight="1">
      <c r="A35" s="6" t="s">
        <v>447</v>
      </c>
      <c r="B35" s="6" t="s">
        <v>448</v>
      </c>
      <c r="C35" s="6" t="s">
        <v>449</v>
      </c>
      <c r="D35" s="102" t="s">
        <v>450</v>
      </c>
      <c r="E35" s="37">
        <f>F35+I35</f>
        <v>1212250</v>
      </c>
      <c r="F35" s="37">
        <f>1200000+14400-200000+197850</f>
        <v>1212250</v>
      </c>
      <c r="G35" s="37"/>
      <c r="H35" s="37"/>
      <c r="I35" s="37"/>
      <c r="J35" s="37">
        <f t="shared" si="4"/>
        <v>800000</v>
      </c>
      <c r="K35" s="37">
        <f>800000</f>
        <v>800000</v>
      </c>
      <c r="L35" s="37">
        <f>1350-1350</f>
        <v>0</v>
      </c>
      <c r="M35" s="37"/>
      <c r="N35" s="37"/>
      <c r="O35" s="37">
        <f>800000</f>
        <v>800000</v>
      </c>
      <c r="P35" s="37">
        <f t="shared" si="3"/>
        <v>2012250</v>
      </c>
    </row>
    <row r="36" spans="1:16" s="110" customFormat="1" ht="26.25" customHeight="1" hidden="1">
      <c r="A36" s="6" t="s">
        <v>70</v>
      </c>
      <c r="B36" s="6" t="s">
        <v>71</v>
      </c>
      <c r="C36" s="6" t="s">
        <v>72</v>
      </c>
      <c r="D36" s="102" t="s">
        <v>73</v>
      </c>
      <c r="E36" s="37"/>
      <c r="F36" s="37"/>
      <c r="G36" s="37"/>
      <c r="H36" s="37"/>
      <c r="I36" s="37"/>
      <c r="J36" s="37">
        <f t="shared" si="4"/>
        <v>0</v>
      </c>
      <c r="K36" s="37"/>
      <c r="L36" s="37"/>
      <c r="M36" s="37"/>
      <c r="N36" s="37"/>
      <c r="O36" s="37"/>
      <c r="P36" s="37">
        <f t="shared" si="3"/>
        <v>0</v>
      </c>
    </row>
    <row r="37" spans="1:16" s="110" customFormat="1" ht="48" customHeight="1" hidden="1">
      <c r="A37" s="6" t="s">
        <v>110</v>
      </c>
      <c r="B37" s="6" t="s">
        <v>111</v>
      </c>
      <c r="C37" s="6" t="s">
        <v>460</v>
      </c>
      <c r="D37" s="102" t="s">
        <v>112</v>
      </c>
      <c r="E37" s="37"/>
      <c r="F37" s="37"/>
      <c r="G37" s="37"/>
      <c r="H37" s="37"/>
      <c r="I37" s="37"/>
      <c r="J37" s="37">
        <f>L37+O37</f>
        <v>0</v>
      </c>
      <c r="K37" s="37"/>
      <c r="L37" s="37"/>
      <c r="M37" s="37"/>
      <c r="N37" s="37"/>
      <c r="O37" s="37"/>
      <c r="P37" s="37">
        <f>J37+E37</f>
        <v>0</v>
      </c>
    </row>
    <row r="38" spans="1:16" s="110" customFormat="1" ht="35.25" customHeight="1">
      <c r="A38" s="6" t="s">
        <v>451</v>
      </c>
      <c r="B38" s="6" t="s">
        <v>452</v>
      </c>
      <c r="C38" s="6" t="s">
        <v>453</v>
      </c>
      <c r="D38" s="38" t="s">
        <v>454</v>
      </c>
      <c r="E38" s="37">
        <f aca="true" t="shared" si="9" ref="E38:E43">F38+I38</f>
        <v>1091300</v>
      </c>
      <c r="F38" s="37"/>
      <c r="G38" s="37"/>
      <c r="H38" s="37"/>
      <c r="I38" s="37">
        <f>1000000+91300</f>
        <v>1091300</v>
      </c>
      <c r="J38" s="37">
        <f t="shared" si="4"/>
        <v>0</v>
      </c>
      <c r="K38" s="37"/>
      <c r="L38" s="37"/>
      <c r="M38" s="37"/>
      <c r="N38" s="37"/>
      <c r="O38" s="37"/>
      <c r="P38" s="37">
        <f t="shared" si="3"/>
        <v>1091300</v>
      </c>
    </row>
    <row r="39" spans="1:16" s="110" customFormat="1" ht="27" customHeight="1" hidden="1">
      <c r="A39" s="6" t="s">
        <v>455</v>
      </c>
      <c r="B39" s="6" t="s">
        <v>456</v>
      </c>
      <c r="C39" s="6" t="s">
        <v>453</v>
      </c>
      <c r="D39" s="38" t="s">
        <v>457</v>
      </c>
      <c r="E39" s="37">
        <f t="shared" si="9"/>
        <v>0</v>
      </c>
      <c r="F39" s="37"/>
      <c r="G39" s="37"/>
      <c r="H39" s="37"/>
      <c r="I39" s="37"/>
      <c r="J39" s="37">
        <f t="shared" si="4"/>
        <v>0</v>
      </c>
      <c r="K39" s="37"/>
      <c r="L39" s="37"/>
      <c r="M39" s="37"/>
      <c r="N39" s="37"/>
      <c r="O39" s="37"/>
      <c r="P39" s="37">
        <f t="shared" si="3"/>
        <v>0</v>
      </c>
    </row>
    <row r="40" spans="1:16" s="110" customFormat="1" ht="42.75" customHeight="1">
      <c r="A40" s="6" t="s">
        <v>113</v>
      </c>
      <c r="B40" s="6" t="s">
        <v>114</v>
      </c>
      <c r="C40" s="6" t="s">
        <v>460</v>
      </c>
      <c r="D40" s="38" t="s">
        <v>115</v>
      </c>
      <c r="E40" s="37">
        <f t="shared" si="9"/>
        <v>0</v>
      </c>
      <c r="F40" s="37"/>
      <c r="G40" s="37"/>
      <c r="H40" s="37"/>
      <c r="I40" s="37"/>
      <c r="J40" s="37">
        <f>L40+O40</f>
        <v>2300</v>
      </c>
      <c r="K40" s="37">
        <f>2300</f>
        <v>2300</v>
      </c>
      <c r="L40" s="37"/>
      <c r="M40" s="37"/>
      <c r="N40" s="37"/>
      <c r="O40" s="37">
        <f>2300</f>
        <v>2300</v>
      </c>
      <c r="P40" s="37">
        <f>J40+E40</f>
        <v>2300</v>
      </c>
    </row>
    <row r="41" spans="1:16" s="110" customFormat="1" ht="41.25" customHeight="1">
      <c r="A41" s="6" t="s">
        <v>458</v>
      </c>
      <c r="B41" s="6" t="s">
        <v>459</v>
      </c>
      <c r="C41" s="6" t="s">
        <v>460</v>
      </c>
      <c r="D41" s="102" t="s">
        <v>461</v>
      </c>
      <c r="E41" s="37">
        <f t="shared" si="9"/>
        <v>60000</v>
      </c>
      <c r="F41" s="37">
        <v>60000</v>
      </c>
      <c r="G41" s="37"/>
      <c r="H41" s="37"/>
      <c r="I41" s="37"/>
      <c r="J41" s="37">
        <f t="shared" si="4"/>
        <v>0</v>
      </c>
      <c r="K41" s="37"/>
      <c r="L41" s="37"/>
      <c r="M41" s="37"/>
      <c r="N41" s="37"/>
      <c r="O41" s="37"/>
      <c r="P41" s="37">
        <f t="shared" si="3"/>
        <v>60000</v>
      </c>
    </row>
    <row r="42" spans="1:16" s="110" customFormat="1" ht="120" customHeight="1">
      <c r="A42" s="6" t="s">
        <v>147</v>
      </c>
      <c r="B42" s="6" t="s">
        <v>148</v>
      </c>
      <c r="C42" s="6" t="s">
        <v>460</v>
      </c>
      <c r="D42" s="102" t="s">
        <v>149</v>
      </c>
      <c r="E42" s="37">
        <f t="shared" si="9"/>
        <v>0</v>
      </c>
      <c r="F42" s="37"/>
      <c r="G42" s="37"/>
      <c r="H42" s="37"/>
      <c r="I42" s="37"/>
      <c r="J42" s="37">
        <f t="shared" si="4"/>
        <v>368615</v>
      </c>
      <c r="K42" s="37"/>
      <c r="L42" s="37">
        <f>97440+194250+76925</f>
        <v>368615</v>
      </c>
      <c r="M42" s="37"/>
      <c r="N42" s="37"/>
      <c r="O42" s="37"/>
      <c r="P42" s="37">
        <f t="shared" si="3"/>
        <v>368615</v>
      </c>
    </row>
    <row r="43" spans="1:16" s="110" customFormat="1" ht="27" customHeight="1" hidden="1">
      <c r="A43" s="6" t="s">
        <v>462</v>
      </c>
      <c r="B43" s="6" t="s">
        <v>463</v>
      </c>
      <c r="C43" s="6" t="s">
        <v>460</v>
      </c>
      <c r="D43" s="38" t="s">
        <v>464</v>
      </c>
      <c r="E43" s="37">
        <f t="shared" si="9"/>
        <v>0</v>
      </c>
      <c r="F43" s="37"/>
      <c r="G43" s="37"/>
      <c r="H43" s="37"/>
      <c r="I43" s="37"/>
      <c r="J43" s="37">
        <f t="shared" si="4"/>
        <v>0</v>
      </c>
      <c r="K43" s="37"/>
      <c r="L43" s="37"/>
      <c r="M43" s="37"/>
      <c r="N43" s="37"/>
      <c r="O43" s="37"/>
      <c r="P43" s="37">
        <f t="shared" si="3"/>
        <v>0</v>
      </c>
    </row>
    <row r="44" spans="1:16" s="111" customFormat="1" ht="27" customHeight="1">
      <c r="A44" s="103"/>
      <c r="B44" s="103" t="s">
        <v>116</v>
      </c>
      <c r="C44" s="103"/>
      <c r="D44" s="104" t="s">
        <v>117</v>
      </c>
      <c r="E44" s="105">
        <f>SUM(E45:E48)</f>
        <v>750000</v>
      </c>
      <c r="F44" s="105">
        <f aca="true" t="shared" si="10" ref="F44:P44">SUM(F45:F48)</f>
        <v>750000</v>
      </c>
      <c r="G44" s="105">
        <f t="shared" si="10"/>
        <v>0</v>
      </c>
      <c r="H44" s="105">
        <f t="shared" si="10"/>
        <v>0</v>
      </c>
      <c r="I44" s="105">
        <f t="shared" si="10"/>
        <v>0</v>
      </c>
      <c r="J44" s="105">
        <f t="shared" si="10"/>
        <v>354000</v>
      </c>
      <c r="K44" s="105">
        <f t="shared" si="10"/>
        <v>199000</v>
      </c>
      <c r="L44" s="105">
        <f t="shared" si="10"/>
        <v>55000</v>
      </c>
      <c r="M44" s="105">
        <f t="shared" si="10"/>
        <v>0</v>
      </c>
      <c r="N44" s="105">
        <f t="shared" si="10"/>
        <v>0</v>
      </c>
      <c r="O44" s="105">
        <f t="shared" si="10"/>
        <v>299000</v>
      </c>
      <c r="P44" s="105">
        <f t="shared" si="10"/>
        <v>1104000</v>
      </c>
    </row>
    <row r="45" spans="1:16" s="111" customFormat="1" ht="34.5" customHeight="1">
      <c r="A45" s="6" t="s">
        <v>226</v>
      </c>
      <c r="B45" s="6" t="s">
        <v>224</v>
      </c>
      <c r="C45" s="6" t="s">
        <v>118</v>
      </c>
      <c r="D45" s="38" t="s">
        <v>225</v>
      </c>
      <c r="E45" s="37">
        <f>F45+I45</f>
        <v>200000</v>
      </c>
      <c r="F45" s="37">
        <v>200000</v>
      </c>
      <c r="G45" s="37"/>
      <c r="H45" s="37"/>
      <c r="I45" s="37"/>
      <c r="J45" s="37">
        <f>L45+O45</f>
        <v>0</v>
      </c>
      <c r="K45" s="37"/>
      <c r="L45" s="37"/>
      <c r="M45" s="37"/>
      <c r="N45" s="37"/>
      <c r="O45" s="37"/>
      <c r="P45" s="37">
        <f>J45+E45</f>
        <v>200000</v>
      </c>
    </row>
    <row r="46" spans="1:16" s="111" customFormat="1" ht="34.5" customHeight="1">
      <c r="A46" s="6" t="s">
        <v>270</v>
      </c>
      <c r="B46" s="6" t="s">
        <v>271</v>
      </c>
      <c r="C46" s="6" t="s">
        <v>465</v>
      </c>
      <c r="D46" s="38" t="s">
        <v>272</v>
      </c>
      <c r="E46" s="37">
        <f>F46+I46</f>
        <v>50000</v>
      </c>
      <c r="F46" s="37">
        <v>50000</v>
      </c>
      <c r="G46" s="37"/>
      <c r="H46" s="37"/>
      <c r="I46" s="37"/>
      <c r="J46" s="37">
        <f>L46+O46</f>
        <v>199000</v>
      </c>
      <c r="K46" s="37">
        <v>199000</v>
      </c>
      <c r="L46" s="37"/>
      <c r="M46" s="37"/>
      <c r="N46" s="37"/>
      <c r="O46" s="37">
        <v>199000</v>
      </c>
      <c r="P46" s="37">
        <f>J46+E46</f>
        <v>249000</v>
      </c>
    </row>
    <row r="47" spans="1:16" s="110" customFormat="1" ht="27" customHeight="1">
      <c r="A47" s="6" t="s">
        <v>208</v>
      </c>
      <c r="B47" s="6" t="s">
        <v>209</v>
      </c>
      <c r="C47" s="6" t="s">
        <v>465</v>
      </c>
      <c r="D47" s="38" t="s">
        <v>210</v>
      </c>
      <c r="E47" s="37">
        <f>F47+I47</f>
        <v>500000</v>
      </c>
      <c r="F47" s="37">
        <v>500000</v>
      </c>
      <c r="G47" s="37"/>
      <c r="H47" s="37"/>
      <c r="I47" s="37"/>
      <c r="J47" s="37">
        <f>L47+O47</f>
        <v>0</v>
      </c>
      <c r="K47" s="37"/>
      <c r="L47" s="37"/>
      <c r="M47" s="37"/>
      <c r="N47" s="37"/>
      <c r="O47" s="37"/>
      <c r="P47" s="37">
        <f>J47+E47</f>
        <v>500000</v>
      </c>
    </row>
    <row r="48" spans="1:16" s="110" customFormat="1" ht="27" customHeight="1">
      <c r="A48" s="6" t="s">
        <v>466</v>
      </c>
      <c r="B48" s="6" t="s">
        <v>467</v>
      </c>
      <c r="C48" s="6" t="s">
        <v>468</v>
      </c>
      <c r="D48" s="106" t="s">
        <v>469</v>
      </c>
      <c r="E48" s="37">
        <f>F48+I48</f>
        <v>0</v>
      </c>
      <c r="F48" s="37"/>
      <c r="G48" s="37"/>
      <c r="H48" s="37"/>
      <c r="I48" s="37"/>
      <c r="J48" s="37">
        <f>L48+O48</f>
        <v>155000</v>
      </c>
      <c r="K48" s="37"/>
      <c r="L48" s="37">
        <f>45000+10000</f>
        <v>55000</v>
      </c>
      <c r="M48" s="37"/>
      <c r="N48" s="37"/>
      <c r="O48" s="37">
        <v>100000</v>
      </c>
      <c r="P48" s="37">
        <f>J48+E48</f>
        <v>155000</v>
      </c>
    </row>
    <row r="49" spans="1:16" s="111" customFormat="1" ht="27" customHeight="1">
      <c r="A49" s="103"/>
      <c r="B49" s="103" t="s">
        <v>137</v>
      </c>
      <c r="C49" s="103"/>
      <c r="D49" s="104" t="s">
        <v>138</v>
      </c>
      <c r="E49" s="105">
        <f>SUM(E50)</f>
        <v>170000</v>
      </c>
      <c r="F49" s="105">
        <f aca="true" t="shared" si="11" ref="F49:P49">SUM(F50)</f>
        <v>170000</v>
      </c>
      <c r="G49" s="105">
        <f t="shared" si="11"/>
        <v>0</v>
      </c>
      <c r="H49" s="105">
        <f t="shared" si="11"/>
        <v>0</v>
      </c>
      <c r="I49" s="105">
        <f t="shared" si="11"/>
        <v>0</v>
      </c>
      <c r="J49" s="105">
        <f t="shared" si="11"/>
        <v>0</v>
      </c>
      <c r="K49" s="105">
        <f t="shared" si="11"/>
        <v>0</v>
      </c>
      <c r="L49" s="105">
        <f t="shared" si="11"/>
        <v>0</v>
      </c>
      <c r="M49" s="105">
        <f t="shared" si="11"/>
        <v>0</v>
      </c>
      <c r="N49" s="105">
        <f t="shared" si="11"/>
        <v>0</v>
      </c>
      <c r="O49" s="105">
        <f t="shared" si="11"/>
        <v>0</v>
      </c>
      <c r="P49" s="105">
        <f t="shared" si="11"/>
        <v>170000</v>
      </c>
    </row>
    <row r="50" spans="1:16" s="111" customFormat="1" ht="57.75" customHeight="1">
      <c r="A50" s="6" t="s">
        <v>163</v>
      </c>
      <c r="B50" s="6" t="s">
        <v>164</v>
      </c>
      <c r="C50" s="6" t="s">
        <v>416</v>
      </c>
      <c r="D50" s="38" t="s">
        <v>165</v>
      </c>
      <c r="E50" s="37">
        <f>F50+I50</f>
        <v>170000</v>
      </c>
      <c r="F50" s="37">
        <f>120000+50000</f>
        <v>170000</v>
      </c>
      <c r="G50" s="37"/>
      <c r="H50" s="37"/>
      <c r="I50" s="37"/>
      <c r="J50" s="37">
        <f>L50+O50</f>
        <v>0</v>
      </c>
      <c r="K50" s="37"/>
      <c r="L50" s="37"/>
      <c r="M50" s="37"/>
      <c r="N50" s="37"/>
      <c r="O50" s="37"/>
      <c r="P50" s="37">
        <f>J50+E50</f>
        <v>170000</v>
      </c>
    </row>
    <row r="51" spans="1:16" s="112" customFormat="1" ht="39" customHeight="1">
      <c r="A51" s="146" t="s">
        <v>470</v>
      </c>
      <c r="B51" s="146"/>
      <c r="C51" s="146"/>
      <c r="D51" s="147" t="s">
        <v>119</v>
      </c>
      <c r="E51" s="101">
        <f>E52</f>
        <v>193278196</v>
      </c>
      <c r="F51" s="101">
        <f aca="true" t="shared" si="12" ref="F51:P51">F52</f>
        <v>193278196</v>
      </c>
      <c r="G51" s="101">
        <f t="shared" si="12"/>
        <v>136966940</v>
      </c>
      <c r="H51" s="101">
        <f t="shared" si="12"/>
        <v>22072895</v>
      </c>
      <c r="I51" s="101">
        <f t="shared" si="12"/>
        <v>0</v>
      </c>
      <c r="J51" s="101">
        <f t="shared" si="12"/>
        <v>3906200</v>
      </c>
      <c r="K51" s="101">
        <f t="shared" si="12"/>
        <v>95000</v>
      </c>
      <c r="L51" s="101">
        <f t="shared" si="12"/>
        <v>3811200</v>
      </c>
      <c r="M51" s="101">
        <f t="shared" si="12"/>
        <v>0</v>
      </c>
      <c r="N51" s="101">
        <f t="shared" si="12"/>
        <v>0</v>
      </c>
      <c r="O51" s="101">
        <f t="shared" si="12"/>
        <v>95000</v>
      </c>
      <c r="P51" s="101">
        <f t="shared" si="12"/>
        <v>197184396</v>
      </c>
    </row>
    <row r="52" spans="1:16" s="112" customFormat="1" ht="40.5" customHeight="1">
      <c r="A52" s="146" t="s">
        <v>471</v>
      </c>
      <c r="B52" s="146"/>
      <c r="C52" s="146"/>
      <c r="D52" s="147" t="str">
        <f>D51</f>
        <v>Відділ освіти Тетіївської міської ради</v>
      </c>
      <c r="E52" s="101">
        <f>E53+E55+E70</f>
        <v>193278196</v>
      </c>
      <c r="F52" s="101">
        <f aca="true" t="shared" si="13" ref="F52:P52">F53+F55+F70</f>
        <v>193278196</v>
      </c>
      <c r="G52" s="101">
        <f t="shared" si="13"/>
        <v>136966940</v>
      </c>
      <c r="H52" s="101">
        <f t="shared" si="13"/>
        <v>22072895</v>
      </c>
      <c r="I52" s="101">
        <f t="shared" si="13"/>
        <v>0</v>
      </c>
      <c r="J52" s="101">
        <f t="shared" si="13"/>
        <v>3906200</v>
      </c>
      <c r="K52" s="101">
        <f t="shared" si="13"/>
        <v>95000</v>
      </c>
      <c r="L52" s="101">
        <f t="shared" si="13"/>
        <v>3811200</v>
      </c>
      <c r="M52" s="101">
        <f t="shared" si="13"/>
        <v>0</v>
      </c>
      <c r="N52" s="101">
        <f t="shared" si="13"/>
        <v>0</v>
      </c>
      <c r="O52" s="101">
        <f t="shared" si="13"/>
        <v>95000</v>
      </c>
      <c r="P52" s="101">
        <f t="shared" si="13"/>
        <v>197184396</v>
      </c>
    </row>
    <row r="53" spans="1:16" s="112" customFormat="1" ht="32.25" customHeight="1">
      <c r="A53" s="146"/>
      <c r="B53" s="146" t="s">
        <v>89</v>
      </c>
      <c r="C53" s="146"/>
      <c r="D53" s="147" t="s">
        <v>90</v>
      </c>
      <c r="E53" s="101">
        <f>E54</f>
        <v>1138940</v>
      </c>
      <c r="F53" s="101">
        <f aca="true" t="shared" si="14" ref="F53:P53">F54</f>
        <v>1138940</v>
      </c>
      <c r="G53" s="101">
        <f t="shared" si="14"/>
        <v>932700</v>
      </c>
      <c r="H53" s="101">
        <f t="shared" si="14"/>
        <v>0</v>
      </c>
      <c r="I53" s="101">
        <f t="shared" si="14"/>
        <v>0</v>
      </c>
      <c r="J53" s="101">
        <f t="shared" si="14"/>
        <v>0</v>
      </c>
      <c r="K53" s="101">
        <f t="shared" si="14"/>
        <v>0</v>
      </c>
      <c r="L53" s="101">
        <f t="shared" si="14"/>
        <v>0</v>
      </c>
      <c r="M53" s="101">
        <f t="shared" si="14"/>
        <v>0</v>
      </c>
      <c r="N53" s="101">
        <f t="shared" si="14"/>
        <v>0</v>
      </c>
      <c r="O53" s="101">
        <f t="shared" si="14"/>
        <v>0</v>
      </c>
      <c r="P53" s="101">
        <f t="shared" si="14"/>
        <v>1138940</v>
      </c>
    </row>
    <row r="54" spans="1:16" s="112" customFormat="1" ht="47.25" customHeight="1">
      <c r="A54" s="6" t="s">
        <v>472</v>
      </c>
      <c r="B54" s="6" t="s">
        <v>473</v>
      </c>
      <c r="C54" s="6" t="s">
        <v>413</v>
      </c>
      <c r="D54" s="38" t="s">
        <v>203</v>
      </c>
      <c r="E54" s="37">
        <f>F54+I54</f>
        <v>1138940</v>
      </c>
      <c r="F54" s="37">
        <f>1137900+1040</f>
        <v>1138940</v>
      </c>
      <c r="G54" s="37">
        <v>932700</v>
      </c>
      <c r="H54" s="101"/>
      <c r="I54" s="101"/>
      <c r="J54" s="37">
        <f>L54+O54</f>
        <v>0</v>
      </c>
      <c r="K54" s="101"/>
      <c r="L54" s="101"/>
      <c r="M54" s="101"/>
      <c r="N54" s="101"/>
      <c r="O54" s="101"/>
      <c r="P54" s="37">
        <f>J54+E54</f>
        <v>1138940</v>
      </c>
    </row>
    <row r="55" spans="1:16" s="111" customFormat="1" ht="40.5" customHeight="1">
      <c r="A55" s="103"/>
      <c r="B55" s="103" t="s">
        <v>120</v>
      </c>
      <c r="C55" s="103"/>
      <c r="D55" s="104" t="s">
        <v>121</v>
      </c>
      <c r="E55" s="105">
        <f>SUM(E56:E69)</f>
        <v>192139256</v>
      </c>
      <c r="F55" s="105">
        <f aca="true" t="shared" si="15" ref="F55:P55">SUM(F56:F69)</f>
        <v>192139256</v>
      </c>
      <c r="G55" s="105">
        <f t="shared" si="15"/>
        <v>136034240</v>
      </c>
      <c r="H55" s="105">
        <f t="shared" si="15"/>
        <v>22072895</v>
      </c>
      <c r="I55" s="105">
        <f t="shared" si="15"/>
        <v>0</v>
      </c>
      <c r="J55" s="105">
        <f t="shared" si="15"/>
        <v>3906200</v>
      </c>
      <c r="K55" s="105">
        <f t="shared" si="15"/>
        <v>95000</v>
      </c>
      <c r="L55" s="105">
        <f t="shared" si="15"/>
        <v>3811200</v>
      </c>
      <c r="M55" s="105">
        <f t="shared" si="15"/>
        <v>0</v>
      </c>
      <c r="N55" s="105">
        <f t="shared" si="15"/>
        <v>0</v>
      </c>
      <c r="O55" s="105">
        <f t="shared" si="15"/>
        <v>95000</v>
      </c>
      <c r="P55" s="105">
        <f t="shared" si="15"/>
        <v>196045456</v>
      </c>
    </row>
    <row r="56" spans="1:16" s="110" customFormat="1" ht="27" customHeight="1">
      <c r="A56" s="6" t="s">
        <v>474</v>
      </c>
      <c r="B56" s="6" t="s">
        <v>475</v>
      </c>
      <c r="C56" s="6" t="s">
        <v>476</v>
      </c>
      <c r="D56" s="107" t="s">
        <v>477</v>
      </c>
      <c r="E56" s="37">
        <f>F56+I56</f>
        <v>32901185</v>
      </c>
      <c r="F56" s="37">
        <f>32480700+358920+61565</f>
        <v>32901185</v>
      </c>
      <c r="G56" s="37">
        <v>22189000</v>
      </c>
      <c r="H56" s="37">
        <f>4745000+228485</f>
        <v>4973485</v>
      </c>
      <c r="I56" s="37"/>
      <c r="J56" s="37">
        <f>L56+O56</f>
        <v>1227000</v>
      </c>
      <c r="K56" s="37"/>
      <c r="L56" s="37">
        <v>1227000</v>
      </c>
      <c r="M56" s="37"/>
      <c r="N56" s="37"/>
      <c r="O56" s="37"/>
      <c r="P56" s="37">
        <f>J56+E56</f>
        <v>34128185</v>
      </c>
    </row>
    <row r="57" spans="1:16" s="110" customFormat="1" ht="42.75" customHeight="1">
      <c r="A57" s="6" t="s">
        <v>478</v>
      </c>
      <c r="B57" s="6" t="s">
        <v>479</v>
      </c>
      <c r="C57" s="6" t="s">
        <v>480</v>
      </c>
      <c r="D57" s="38" t="s">
        <v>194</v>
      </c>
      <c r="E57" s="37">
        <f aca="true" t="shared" si="16" ref="E57:E68">F57+I57</f>
        <v>56361919</v>
      </c>
      <c r="F57" s="37">
        <f>52834600+1963300+1749203+99816+10000-295000</f>
        <v>56361919</v>
      </c>
      <c r="G57" s="37">
        <f>29521900+1609300</f>
        <v>31131200</v>
      </c>
      <c r="H57" s="37">
        <f>15689000+1466810-445000</f>
        <v>16710810</v>
      </c>
      <c r="I57" s="37"/>
      <c r="J57" s="37">
        <f aca="true" t="shared" si="17" ref="J57:J68">L57+O57</f>
        <v>2584200</v>
      </c>
      <c r="K57" s="37"/>
      <c r="L57" s="37">
        <v>2584200</v>
      </c>
      <c r="M57" s="37"/>
      <c r="N57" s="37"/>
      <c r="O57" s="37"/>
      <c r="P57" s="37">
        <f aca="true" t="shared" si="18" ref="P57:P68">J57+E57</f>
        <v>58946119</v>
      </c>
    </row>
    <row r="58" spans="1:16" s="110" customFormat="1" ht="36" customHeight="1">
      <c r="A58" s="6" t="s">
        <v>481</v>
      </c>
      <c r="B58" s="6" t="s">
        <v>482</v>
      </c>
      <c r="C58" s="6" t="s">
        <v>480</v>
      </c>
      <c r="D58" s="38" t="s">
        <v>266</v>
      </c>
      <c r="E58" s="37">
        <f t="shared" si="16"/>
        <v>89254700</v>
      </c>
      <c r="F58" s="37">
        <f>89256900-2200</f>
        <v>89254700</v>
      </c>
      <c r="G58" s="37">
        <v>73256900</v>
      </c>
      <c r="H58" s="37"/>
      <c r="I58" s="37"/>
      <c r="J58" s="37">
        <f t="shared" si="17"/>
        <v>0</v>
      </c>
      <c r="K58" s="37"/>
      <c r="L58" s="37"/>
      <c r="M58" s="37"/>
      <c r="N58" s="37"/>
      <c r="O58" s="37"/>
      <c r="P58" s="37">
        <f t="shared" si="18"/>
        <v>89254700</v>
      </c>
    </row>
    <row r="59" spans="1:16" s="110" customFormat="1" ht="150" customHeight="1" hidden="1">
      <c r="A59" s="6" t="s">
        <v>145</v>
      </c>
      <c r="B59" s="6" t="s">
        <v>146</v>
      </c>
      <c r="C59" s="6" t="s">
        <v>480</v>
      </c>
      <c r="D59" s="38" t="s">
        <v>267</v>
      </c>
      <c r="E59" s="37">
        <f>F59+I59</f>
        <v>0</v>
      </c>
      <c r="F59" s="37"/>
      <c r="G59" s="37"/>
      <c r="H59" s="37"/>
      <c r="I59" s="37"/>
      <c r="J59" s="37">
        <f>L59+O59</f>
        <v>0</v>
      </c>
      <c r="K59" s="37"/>
      <c r="L59" s="37"/>
      <c r="M59" s="37"/>
      <c r="N59" s="37"/>
      <c r="O59" s="37"/>
      <c r="P59" s="37">
        <f>J59+E59</f>
        <v>0</v>
      </c>
    </row>
    <row r="60" spans="1:16" s="110" customFormat="1" ht="38.25" customHeight="1">
      <c r="A60" s="6" t="s">
        <v>483</v>
      </c>
      <c r="B60" s="6" t="s">
        <v>428</v>
      </c>
      <c r="C60" s="6" t="s">
        <v>484</v>
      </c>
      <c r="D60" s="102" t="s">
        <v>485</v>
      </c>
      <c r="E60" s="37">
        <f t="shared" si="16"/>
        <v>3178600</v>
      </c>
      <c r="F60" s="37">
        <v>3178600</v>
      </c>
      <c r="G60" s="37">
        <v>2350600</v>
      </c>
      <c r="H60" s="37">
        <v>308900</v>
      </c>
      <c r="I60" s="37"/>
      <c r="J60" s="37">
        <f t="shared" si="17"/>
        <v>70000</v>
      </c>
      <c r="K60" s="37">
        <v>70000</v>
      </c>
      <c r="L60" s="37"/>
      <c r="M60" s="37"/>
      <c r="N60" s="37"/>
      <c r="O60" s="37">
        <v>70000</v>
      </c>
      <c r="P60" s="37">
        <f t="shared" si="18"/>
        <v>3248600</v>
      </c>
    </row>
    <row r="61" spans="1:16" s="110" customFormat="1" ht="31.5" customHeight="1">
      <c r="A61" s="6" t="s">
        <v>486</v>
      </c>
      <c r="B61" s="6" t="s">
        <v>487</v>
      </c>
      <c r="C61" s="6" t="s">
        <v>488</v>
      </c>
      <c r="D61" s="38" t="s">
        <v>489</v>
      </c>
      <c r="E61" s="37">
        <f t="shared" si="16"/>
        <v>5331560</v>
      </c>
      <c r="F61" s="37">
        <f>4951200+85360+295000</f>
        <v>5331560</v>
      </c>
      <c r="G61" s="37">
        <v>3337100</v>
      </c>
      <c r="H61" s="37"/>
      <c r="I61" s="37"/>
      <c r="J61" s="37">
        <f t="shared" si="17"/>
        <v>25000</v>
      </c>
      <c r="K61" s="37">
        <v>25000</v>
      </c>
      <c r="L61" s="37"/>
      <c r="M61" s="37"/>
      <c r="N61" s="37"/>
      <c r="O61" s="37">
        <v>25000</v>
      </c>
      <c r="P61" s="37">
        <f t="shared" si="18"/>
        <v>5356560</v>
      </c>
    </row>
    <row r="62" spans="1:16" s="110" customFormat="1" ht="27.75" customHeight="1">
      <c r="A62" s="6" t="s">
        <v>490</v>
      </c>
      <c r="B62" s="6" t="s">
        <v>491</v>
      </c>
      <c r="C62" s="6" t="s">
        <v>488</v>
      </c>
      <c r="D62" s="102" t="s">
        <v>0</v>
      </c>
      <c r="E62" s="37">
        <f t="shared" si="16"/>
        <v>417006</v>
      </c>
      <c r="F62" s="37">
        <f>150000+109100+18100+139806</f>
        <v>417006</v>
      </c>
      <c r="G62" s="37"/>
      <c r="H62" s="37"/>
      <c r="I62" s="37"/>
      <c r="J62" s="37">
        <f t="shared" si="17"/>
        <v>0</v>
      </c>
      <c r="K62" s="37"/>
      <c r="L62" s="37"/>
      <c r="M62" s="37"/>
      <c r="N62" s="37"/>
      <c r="O62" s="37"/>
      <c r="P62" s="37">
        <f t="shared" si="18"/>
        <v>417006</v>
      </c>
    </row>
    <row r="63" spans="1:16" s="110" customFormat="1" ht="39" customHeight="1">
      <c r="A63" s="6" t="s">
        <v>1</v>
      </c>
      <c r="B63" s="6" t="s">
        <v>2</v>
      </c>
      <c r="C63" s="6" t="s">
        <v>488</v>
      </c>
      <c r="D63" s="102" t="s">
        <v>3</v>
      </c>
      <c r="E63" s="37">
        <f t="shared" si="16"/>
        <v>139900</v>
      </c>
      <c r="F63" s="37">
        <v>139900</v>
      </c>
      <c r="G63" s="37">
        <v>42100</v>
      </c>
      <c r="H63" s="37">
        <v>79700</v>
      </c>
      <c r="I63" s="37"/>
      <c r="J63" s="37">
        <f t="shared" si="17"/>
        <v>0</v>
      </c>
      <c r="K63" s="37"/>
      <c r="L63" s="37"/>
      <c r="M63" s="37"/>
      <c r="N63" s="37"/>
      <c r="O63" s="37"/>
      <c r="P63" s="37">
        <f t="shared" si="18"/>
        <v>139900</v>
      </c>
    </row>
    <row r="64" spans="1:16" s="110" customFormat="1" ht="42" customHeight="1">
      <c r="A64" s="6" t="s">
        <v>4</v>
      </c>
      <c r="B64" s="6" t="s">
        <v>5</v>
      </c>
      <c r="C64" s="6" t="s">
        <v>488</v>
      </c>
      <c r="D64" s="102" t="s">
        <v>6</v>
      </c>
      <c r="E64" s="37">
        <f t="shared" si="16"/>
        <v>2950560</v>
      </c>
      <c r="F64" s="37">
        <v>2950560</v>
      </c>
      <c r="G64" s="37">
        <v>2418500</v>
      </c>
      <c r="H64" s="37"/>
      <c r="I64" s="37"/>
      <c r="J64" s="37">
        <f t="shared" si="17"/>
        <v>0</v>
      </c>
      <c r="K64" s="37"/>
      <c r="L64" s="37"/>
      <c r="M64" s="37"/>
      <c r="N64" s="37"/>
      <c r="O64" s="37"/>
      <c r="P64" s="37">
        <f t="shared" si="18"/>
        <v>2950560</v>
      </c>
    </row>
    <row r="65" spans="1:16" s="110" customFormat="1" ht="50.25" customHeight="1">
      <c r="A65" s="6" t="s">
        <v>7</v>
      </c>
      <c r="B65" s="6" t="s">
        <v>8</v>
      </c>
      <c r="C65" s="6" t="s">
        <v>488</v>
      </c>
      <c r="D65" s="102" t="s">
        <v>9</v>
      </c>
      <c r="E65" s="37">
        <f t="shared" si="16"/>
        <v>1009300</v>
      </c>
      <c r="F65" s="37">
        <v>1009300</v>
      </c>
      <c r="G65" s="37">
        <v>817500</v>
      </c>
      <c r="H65" s="37"/>
      <c r="I65" s="37"/>
      <c r="J65" s="37">
        <f t="shared" si="17"/>
        <v>0</v>
      </c>
      <c r="K65" s="37"/>
      <c r="L65" s="37"/>
      <c r="M65" s="37"/>
      <c r="N65" s="37"/>
      <c r="O65" s="37"/>
      <c r="P65" s="37">
        <f t="shared" si="18"/>
        <v>1009300</v>
      </c>
    </row>
    <row r="66" spans="1:16" s="110" customFormat="1" ht="83.25" customHeight="1" hidden="1">
      <c r="A66" s="6" t="s">
        <v>122</v>
      </c>
      <c r="B66" s="6" t="s">
        <v>124</v>
      </c>
      <c r="C66" s="6" t="s">
        <v>488</v>
      </c>
      <c r="D66" s="102" t="s">
        <v>126</v>
      </c>
      <c r="E66" s="37">
        <f>F66+I66</f>
        <v>0</v>
      </c>
      <c r="F66" s="37"/>
      <c r="G66" s="37"/>
      <c r="H66" s="37"/>
      <c r="I66" s="37"/>
      <c r="J66" s="37">
        <f>L66+O66</f>
        <v>0</v>
      </c>
      <c r="K66" s="37"/>
      <c r="L66" s="37"/>
      <c r="M66" s="37"/>
      <c r="N66" s="37"/>
      <c r="O66" s="37"/>
      <c r="P66" s="37">
        <f>J66+E66</f>
        <v>0</v>
      </c>
    </row>
    <row r="67" spans="1:16" s="110" customFormat="1" ht="79.5" customHeight="1" hidden="1">
      <c r="A67" s="6" t="s">
        <v>123</v>
      </c>
      <c r="B67" s="6" t="s">
        <v>125</v>
      </c>
      <c r="C67" s="6" t="s">
        <v>488</v>
      </c>
      <c r="D67" s="102" t="s">
        <v>127</v>
      </c>
      <c r="E67" s="37">
        <f>F67+I67</f>
        <v>0</v>
      </c>
      <c r="F67" s="37"/>
      <c r="G67" s="37"/>
      <c r="H67" s="37"/>
      <c r="I67" s="37"/>
      <c r="J67" s="37">
        <f>L67+O67</f>
        <v>0</v>
      </c>
      <c r="K67" s="37"/>
      <c r="L67" s="37"/>
      <c r="M67" s="37"/>
      <c r="N67" s="37"/>
      <c r="O67" s="37"/>
      <c r="P67" s="37">
        <f>J67+E67</f>
        <v>0</v>
      </c>
    </row>
    <row r="68" spans="1:16" s="110" customFormat="1" ht="54" customHeight="1">
      <c r="A68" s="6" t="s">
        <v>10</v>
      </c>
      <c r="B68" s="6" t="s">
        <v>11</v>
      </c>
      <c r="C68" s="6" t="s">
        <v>488</v>
      </c>
      <c r="D68" s="102" t="s">
        <v>12</v>
      </c>
      <c r="E68" s="37">
        <f t="shared" si="16"/>
        <v>594526</v>
      </c>
      <c r="F68" s="37">
        <v>594526</v>
      </c>
      <c r="G68" s="37">
        <v>491340</v>
      </c>
      <c r="H68" s="37"/>
      <c r="I68" s="37"/>
      <c r="J68" s="37">
        <f t="shared" si="17"/>
        <v>0</v>
      </c>
      <c r="K68" s="37"/>
      <c r="L68" s="37"/>
      <c r="M68" s="37"/>
      <c r="N68" s="37"/>
      <c r="O68" s="37"/>
      <c r="P68" s="37">
        <f t="shared" si="18"/>
        <v>594526</v>
      </c>
    </row>
    <row r="69" spans="1:16" s="110" customFormat="1" ht="75" customHeight="1" hidden="1">
      <c r="A69" s="6" t="s">
        <v>128</v>
      </c>
      <c r="B69" s="6" t="s">
        <v>129</v>
      </c>
      <c r="C69" s="6" t="s">
        <v>488</v>
      </c>
      <c r="D69" s="102" t="s">
        <v>268</v>
      </c>
      <c r="E69" s="37">
        <f>F69+I69</f>
        <v>0</v>
      </c>
      <c r="F69" s="37"/>
      <c r="G69" s="37"/>
      <c r="H69" s="37"/>
      <c r="I69" s="37"/>
      <c r="J69" s="37">
        <f>L69+O69</f>
        <v>0</v>
      </c>
      <c r="K69" s="37"/>
      <c r="L69" s="37"/>
      <c r="M69" s="37"/>
      <c r="N69" s="37"/>
      <c r="O69" s="37"/>
      <c r="P69" s="37">
        <f>J69+E69</f>
        <v>0</v>
      </c>
    </row>
    <row r="70" spans="1:16" s="110" customFormat="1" ht="34.5" customHeight="1" hidden="1">
      <c r="A70" s="103"/>
      <c r="B70" s="103" t="s">
        <v>108</v>
      </c>
      <c r="C70" s="103"/>
      <c r="D70" s="148" t="s">
        <v>109</v>
      </c>
      <c r="E70" s="105">
        <f>SUM(E71)</f>
        <v>0</v>
      </c>
      <c r="F70" s="105">
        <f aca="true" t="shared" si="19" ref="F70:P70">SUM(F71)</f>
        <v>0</v>
      </c>
      <c r="G70" s="105">
        <f t="shared" si="19"/>
        <v>0</v>
      </c>
      <c r="H70" s="105">
        <f t="shared" si="19"/>
        <v>0</v>
      </c>
      <c r="I70" s="105">
        <f t="shared" si="19"/>
        <v>0</v>
      </c>
      <c r="J70" s="105">
        <f t="shared" si="19"/>
        <v>0</v>
      </c>
      <c r="K70" s="105">
        <f t="shared" si="19"/>
        <v>0</v>
      </c>
      <c r="L70" s="105">
        <f t="shared" si="19"/>
        <v>0</v>
      </c>
      <c r="M70" s="105">
        <f t="shared" si="19"/>
        <v>0</v>
      </c>
      <c r="N70" s="105">
        <f t="shared" si="19"/>
        <v>0</v>
      </c>
      <c r="O70" s="105">
        <f t="shared" si="19"/>
        <v>0</v>
      </c>
      <c r="P70" s="105">
        <f t="shared" si="19"/>
        <v>0</v>
      </c>
    </row>
    <row r="71" spans="1:16" s="110" customFormat="1" ht="55.5" customHeight="1" hidden="1">
      <c r="A71" s="6" t="s">
        <v>140</v>
      </c>
      <c r="B71" s="6" t="s">
        <v>111</v>
      </c>
      <c r="C71" s="6" t="s">
        <v>460</v>
      </c>
      <c r="D71" s="102" t="s">
        <v>112</v>
      </c>
      <c r="E71" s="37">
        <f>F71+I71</f>
        <v>0</v>
      </c>
      <c r="F71" s="37"/>
      <c r="G71" s="37"/>
      <c r="H71" s="37"/>
      <c r="I71" s="37"/>
      <c r="J71" s="37">
        <f>L71+O71</f>
        <v>0</v>
      </c>
      <c r="K71" s="37"/>
      <c r="L71" s="37"/>
      <c r="M71" s="37"/>
      <c r="N71" s="37"/>
      <c r="O71" s="37"/>
      <c r="P71" s="37">
        <f>J71+E71</f>
        <v>0</v>
      </c>
    </row>
    <row r="72" spans="1:16" s="110" customFormat="1" ht="36.75" customHeight="1">
      <c r="A72" s="146" t="s">
        <v>212</v>
      </c>
      <c r="B72" s="146"/>
      <c r="C72" s="146"/>
      <c r="D72" s="147" t="s">
        <v>213</v>
      </c>
      <c r="E72" s="101">
        <f>E73</f>
        <v>17245550</v>
      </c>
      <c r="F72" s="101">
        <f aca="true" t="shared" si="20" ref="F72:P72">F73</f>
        <v>17245550</v>
      </c>
      <c r="G72" s="101">
        <f t="shared" si="20"/>
        <v>11446800</v>
      </c>
      <c r="H72" s="101">
        <f t="shared" si="20"/>
        <v>532080</v>
      </c>
      <c r="I72" s="101">
        <f t="shared" si="20"/>
        <v>0</v>
      </c>
      <c r="J72" s="101">
        <f t="shared" si="20"/>
        <v>30121</v>
      </c>
      <c r="K72" s="101">
        <f t="shared" si="20"/>
        <v>0</v>
      </c>
      <c r="L72" s="101">
        <f t="shared" si="20"/>
        <v>30121</v>
      </c>
      <c r="M72" s="101">
        <f t="shared" si="20"/>
        <v>0</v>
      </c>
      <c r="N72" s="101">
        <f t="shared" si="20"/>
        <v>0</v>
      </c>
      <c r="O72" s="101">
        <f t="shared" si="20"/>
        <v>0</v>
      </c>
      <c r="P72" s="101">
        <f t="shared" si="20"/>
        <v>17275671</v>
      </c>
    </row>
    <row r="73" spans="1:16" s="110" customFormat="1" ht="37.5" customHeight="1">
      <c r="A73" s="146" t="s">
        <v>214</v>
      </c>
      <c r="B73" s="146"/>
      <c r="C73" s="146"/>
      <c r="D73" s="147" t="str">
        <f>D72</f>
        <v>Управління соціального захисту населення Тетіївської міської ради</v>
      </c>
      <c r="E73" s="101">
        <f>E74+E76</f>
        <v>17245550</v>
      </c>
      <c r="F73" s="101">
        <f aca="true" t="shared" si="21" ref="F73:P73">F74+F76</f>
        <v>17245550</v>
      </c>
      <c r="G73" s="101">
        <f t="shared" si="21"/>
        <v>11446800</v>
      </c>
      <c r="H73" s="101">
        <f t="shared" si="21"/>
        <v>532080</v>
      </c>
      <c r="I73" s="101">
        <f t="shared" si="21"/>
        <v>0</v>
      </c>
      <c r="J73" s="101">
        <f t="shared" si="21"/>
        <v>30121</v>
      </c>
      <c r="K73" s="101">
        <f t="shared" si="21"/>
        <v>0</v>
      </c>
      <c r="L73" s="101">
        <f t="shared" si="21"/>
        <v>30121</v>
      </c>
      <c r="M73" s="101">
        <f t="shared" si="21"/>
        <v>0</v>
      </c>
      <c r="N73" s="101">
        <f t="shared" si="21"/>
        <v>0</v>
      </c>
      <c r="O73" s="101">
        <f t="shared" si="21"/>
        <v>0</v>
      </c>
      <c r="P73" s="101">
        <f t="shared" si="21"/>
        <v>17275671</v>
      </c>
    </row>
    <row r="74" spans="1:16" s="110" customFormat="1" ht="37.5" customHeight="1">
      <c r="A74" s="146"/>
      <c r="B74" s="146" t="s">
        <v>89</v>
      </c>
      <c r="C74" s="146"/>
      <c r="D74" s="147" t="s">
        <v>90</v>
      </c>
      <c r="E74" s="101">
        <f>E75</f>
        <v>1249200</v>
      </c>
      <c r="F74" s="101">
        <f aca="true" t="shared" si="22" ref="F74:P74">F75</f>
        <v>1249200</v>
      </c>
      <c r="G74" s="101">
        <f t="shared" si="22"/>
        <v>1014900</v>
      </c>
      <c r="H74" s="101">
        <f t="shared" si="22"/>
        <v>0</v>
      </c>
      <c r="I74" s="101">
        <f t="shared" si="22"/>
        <v>0</v>
      </c>
      <c r="J74" s="101">
        <f t="shared" si="22"/>
        <v>0</v>
      </c>
      <c r="K74" s="101">
        <f t="shared" si="22"/>
        <v>0</v>
      </c>
      <c r="L74" s="101">
        <f t="shared" si="22"/>
        <v>0</v>
      </c>
      <c r="M74" s="101">
        <f t="shared" si="22"/>
        <v>0</v>
      </c>
      <c r="N74" s="101">
        <f t="shared" si="22"/>
        <v>0</v>
      </c>
      <c r="O74" s="101">
        <f t="shared" si="22"/>
        <v>0</v>
      </c>
      <c r="P74" s="101">
        <f t="shared" si="22"/>
        <v>1249200</v>
      </c>
    </row>
    <row r="75" spans="1:16" s="110" customFormat="1" ht="47.25" customHeight="1">
      <c r="A75" s="6" t="s">
        <v>215</v>
      </c>
      <c r="B75" s="6" t="s">
        <v>473</v>
      </c>
      <c r="C75" s="6" t="s">
        <v>413</v>
      </c>
      <c r="D75" s="38" t="s">
        <v>203</v>
      </c>
      <c r="E75" s="37">
        <f>F75+I75</f>
        <v>1249200</v>
      </c>
      <c r="F75" s="37">
        <f>1130600+118600</f>
        <v>1249200</v>
      </c>
      <c r="G75" s="37">
        <f>917700+97200</f>
        <v>1014900</v>
      </c>
      <c r="H75" s="101"/>
      <c r="I75" s="101"/>
      <c r="J75" s="101"/>
      <c r="K75" s="101"/>
      <c r="L75" s="101"/>
      <c r="M75" s="101"/>
      <c r="N75" s="101"/>
      <c r="O75" s="101"/>
      <c r="P75" s="37">
        <f>J75+E75</f>
        <v>1249200</v>
      </c>
    </row>
    <row r="76" spans="1:16" s="111" customFormat="1" ht="35.25" customHeight="1">
      <c r="A76" s="103"/>
      <c r="B76" s="103" t="s">
        <v>97</v>
      </c>
      <c r="C76" s="103"/>
      <c r="D76" s="104" t="s">
        <v>98</v>
      </c>
      <c r="E76" s="105">
        <f>SUM(E77:E85)</f>
        <v>15996350</v>
      </c>
      <c r="F76" s="105">
        <f aca="true" t="shared" si="23" ref="F76:P76">SUM(F77:F85)</f>
        <v>15996350</v>
      </c>
      <c r="G76" s="105">
        <f t="shared" si="23"/>
        <v>10431900</v>
      </c>
      <c r="H76" s="105">
        <f t="shared" si="23"/>
        <v>532080</v>
      </c>
      <c r="I76" s="105">
        <f t="shared" si="23"/>
        <v>0</v>
      </c>
      <c r="J76" s="105">
        <f t="shared" si="23"/>
        <v>30121</v>
      </c>
      <c r="K76" s="105">
        <f t="shared" si="23"/>
        <v>0</v>
      </c>
      <c r="L76" s="105">
        <f t="shared" si="23"/>
        <v>30121</v>
      </c>
      <c r="M76" s="105">
        <f t="shared" si="23"/>
        <v>0</v>
      </c>
      <c r="N76" s="105">
        <f t="shared" si="23"/>
        <v>0</v>
      </c>
      <c r="O76" s="105">
        <f t="shared" si="23"/>
        <v>0</v>
      </c>
      <c r="P76" s="105">
        <f t="shared" si="23"/>
        <v>16026471</v>
      </c>
    </row>
    <row r="77" spans="1:16" s="110" customFormat="1" ht="42.75" customHeight="1">
      <c r="A77" s="6" t="s">
        <v>216</v>
      </c>
      <c r="B77" s="6" t="s">
        <v>99</v>
      </c>
      <c r="C77" s="6" t="s">
        <v>428</v>
      </c>
      <c r="D77" s="102" t="s">
        <v>100</v>
      </c>
      <c r="E77" s="37">
        <f aca="true" t="shared" si="24" ref="E77:E84">F77+I77</f>
        <v>3500</v>
      </c>
      <c r="F77" s="37">
        <v>3500</v>
      </c>
      <c r="G77" s="37"/>
      <c r="H77" s="37"/>
      <c r="I77" s="37"/>
      <c r="J77" s="37">
        <f aca="true" t="shared" si="25" ref="J77:J84">L77+O77</f>
        <v>0</v>
      </c>
      <c r="K77" s="37"/>
      <c r="L77" s="37"/>
      <c r="M77" s="37"/>
      <c r="N77" s="37"/>
      <c r="O77" s="37"/>
      <c r="P77" s="37">
        <f aca="true" t="shared" si="26" ref="P77:P84">J77+E77</f>
        <v>3500</v>
      </c>
    </row>
    <row r="78" spans="1:16" s="110" customFormat="1" ht="42.75" customHeight="1" hidden="1">
      <c r="A78" s="6" t="s">
        <v>242</v>
      </c>
      <c r="B78" s="6" t="s">
        <v>243</v>
      </c>
      <c r="C78" s="6" t="s">
        <v>244</v>
      </c>
      <c r="D78" s="102" t="s">
        <v>245</v>
      </c>
      <c r="E78" s="37">
        <f t="shared" si="24"/>
        <v>0</v>
      </c>
      <c r="F78" s="37">
        <f>300000-300000</f>
        <v>0</v>
      </c>
      <c r="G78" s="37"/>
      <c r="H78" s="37"/>
      <c r="I78" s="37"/>
      <c r="J78" s="37">
        <f t="shared" si="25"/>
        <v>0</v>
      </c>
      <c r="K78" s="37"/>
      <c r="L78" s="37"/>
      <c r="M78" s="37"/>
      <c r="N78" s="37"/>
      <c r="O78" s="37"/>
      <c r="P78" s="37">
        <f t="shared" si="26"/>
        <v>0</v>
      </c>
    </row>
    <row r="79" spans="1:16" s="110" customFormat="1" ht="56.25" customHeight="1">
      <c r="A79" s="6" t="s">
        <v>234</v>
      </c>
      <c r="B79" s="6" t="s">
        <v>235</v>
      </c>
      <c r="C79" s="6" t="s">
        <v>236</v>
      </c>
      <c r="D79" s="102" t="s">
        <v>237</v>
      </c>
      <c r="E79" s="37">
        <f t="shared" si="24"/>
        <v>11293650</v>
      </c>
      <c r="F79" s="37">
        <f>11178200+30000+85450</f>
        <v>11293650</v>
      </c>
      <c r="G79" s="37">
        <v>8760000</v>
      </c>
      <c r="H79" s="37">
        <f>456000+76080</f>
        <v>532080</v>
      </c>
      <c r="I79" s="37"/>
      <c r="J79" s="37">
        <f t="shared" si="25"/>
        <v>0</v>
      </c>
      <c r="K79" s="37"/>
      <c r="L79" s="37"/>
      <c r="M79" s="37"/>
      <c r="N79" s="37"/>
      <c r="O79" s="37"/>
      <c r="P79" s="37">
        <f t="shared" si="26"/>
        <v>11293650</v>
      </c>
    </row>
    <row r="80" spans="1:16" s="110" customFormat="1" ht="33" customHeight="1">
      <c r="A80" s="6" t="s">
        <v>217</v>
      </c>
      <c r="B80" s="6" t="s">
        <v>429</v>
      </c>
      <c r="C80" s="6" t="s">
        <v>430</v>
      </c>
      <c r="D80" s="38" t="s">
        <v>431</v>
      </c>
      <c r="E80" s="37">
        <f t="shared" si="24"/>
        <v>2026200</v>
      </c>
      <c r="F80" s="37">
        <f>2011200+15000</f>
        <v>2026200</v>
      </c>
      <c r="G80" s="37">
        <v>1671900</v>
      </c>
      <c r="H80" s="37">
        <f>10000-10000</f>
        <v>0</v>
      </c>
      <c r="I80" s="37"/>
      <c r="J80" s="37">
        <f t="shared" si="25"/>
        <v>0</v>
      </c>
      <c r="K80" s="37"/>
      <c r="L80" s="37"/>
      <c r="M80" s="37"/>
      <c r="N80" s="37"/>
      <c r="O80" s="37"/>
      <c r="P80" s="37">
        <f t="shared" si="26"/>
        <v>2026200</v>
      </c>
    </row>
    <row r="81" spans="1:16" s="110" customFormat="1" ht="93" customHeight="1" hidden="1">
      <c r="A81" s="6" t="s">
        <v>101</v>
      </c>
      <c r="B81" s="6" t="s">
        <v>102</v>
      </c>
      <c r="C81" s="6" t="s">
        <v>430</v>
      </c>
      <c r="D81" s="38" t="s">
        <v>103</v>
      </c>
      <c r="E81" s="37">
        <f t="shared" si="24"/>
        <v>0</v>
      </c>
      <c r="F81" s="37"/>
      <c r="G81" s="37"/>
      <c r="H81" s="37"/>
      <c r="I81" s="37"/>
      <c r="J81" s="37">
        <f t="shared" si="25"/>
        <v>0</v>
      </c>
      <c r="K81" s="37"/>
      <c r="L81" s="37"/>
      <c r="M81" s="37"/>
      <c r="N81" s="37"/>
      <c r="O81" s="37"/>
      <c r="P81" s="37">
        <f t="shared" si="26"/>
        <v>0</v>
      </c>
    </row>
    <row r="82" spans="1:16" s="110" customFormat="1" ht="79.5" customHeight="1">
      <c r="A82" s="6" t="s">
        <v>218</v>
      </c>
      <c r="B82" s="6" t="s">
        <v>104</v>
      </c>
      <c r="C82" s="6" t="s">
        <v>475</v>
      </c>
      <c r="D82" s="38" t="s">
        <v>105</v>
      </c>
      <c r="E82" s="37">
        <f t="shared" si="24"/>
        <v>715000</v>
      </c>
      <c r="F82" s="37">
        <v>715000</v>
      </c>
      <c r="G82" s="37"/>
      <c r="H82" s="37"/>
      <c r="I82" s="37"/>
      <c r="J82" s="37">
        <f t="shared" si="25"/>
        <v>0</v>
      </c>
      <c r="K82" s="37"/>
      <c r="L82" s="37"/>
      <c r="M82" s="37"/>
      <c r="N82" s="37"/>
      <c r="O82" s="37"/>
      <c r="P82" s="37">
        <f t="shared" si="26"/>
        <v>715000</v>
      </c>
    </row>
    <row r="83" spans="1:16" s="110" customFormat="1" ht="42.75" customHeight="1">
      <c r="A83" s="6" t="s">
        <v>219</v>
      </c>
      <c r="B83" s="6" t="s">
        <v>434</v>
      </c>
      <c r="C83" s="6" t="s">
        <v>432</v>
      </c>
      <c r="D83" s="38" t="s">
        <v>435</v>
      </c>
      <c r="E83" s="37">
        <f t="shared" si="24"/>
        <v>1958000</v>
      </c>
      <c r="F83" s="37">
        <f>370000+638000+300000+400000+140000+110000</f>
        <v>1958000</v>
      </c>
      <c r="G83" s="37"/>
      <c r="H83" s="37"/>
      <c r="I83" s="37"/>
      <c r="J83" s="37">
        <f t="shared" si="25"/>
        <v>0</v>
      </c>
      <c r="K83" s="37"/>
      <c r="L83" s="37"/>
      <c r="M83" s="37"/>
      <c r="N83" s="37"/>
      <c r="O83" s="37"/>
      <c r="P83" s="37">
        <f t="shared" si="26"/>
        <v>1958000</v>
      </c>
    </row>
    <row r="84" spans="1:16" s="110" customFormat="1" ht="118.5" customHeight="1">
      <c r="A84" s="6" t="s">
        <v>189</v>
      </c>
      <c r="B84" s="6" t="s">
        <v>148</v>
      </c>
      <c r="C84" s="6" t="s">
        <v>460</v>
      </c>
      <c r="D84" s="102" t="s">
        <v>149</v>
      </c>
      <c r="E84" s="37">
        <f t="shared" si="24"/>
        <v>0</v>
      </c>
      <c r="F84" s="37"/>
      <c r="G84" s="37"/>
      <c r="H84" s="37"/>
      <c r="I84" s="37"/>
      <c r="J84" s="37">
        <f t="shared" si="25"/>
        <v>30121</v>
      </c>
      <c r="K84" s="37"/>
      <c r="L84" s="37">
        <v>30121</v>
      </c>
      <c r="M84" s="37"/>
      <c r="N84" s="37"/>
      <c r="O84" s="37"/>
      <c r="P84" s="37">
        <f t="shared" si="26"/>
        <v>30121</v>
      </c>
    </row>
    <row r="85" spans="1:16" s="110" customFormat="1" ht="32.25" customHeight="1" hidden="1">
      <c r="A85" s="6"/>
      <c r="B85" s="6"/>
      <c r="C85" s="6"/>
      <c r="D85" s="102"/>
      <c r="E85" s="37"/>
      <c r="F85" s="37"/>
      <c r="G85" s="37"/>
      <c r="H85" s="37"/>
      <c r="I85" s="37"/>
      <c r="J85" s="37"/>
      <c r="K85" s="37"/>
      <c r="L85" s="37"/>
      <c r="M85" s="37"/>
      <c r="N85" s="37"/>
      <c r="O85" s="37"/>
      <c r="P85" s="37"/>
    </row>
    <row r="86" spans="1:16" s="110" customFormat="1" ht="36.75" customHeight="1">
      <c r="A86" s="146" t="s">
        <v>16</v>
      </c>
      <c r="B86" s="146"/>
      <c r="C86" s="146"/>
      <c r="D86" s="147" t="s">
        <v>132</v>
      </c>
      <c r="E86" s="101">
        <f>E87</f>
        <v>22344000</v>
      </c>
      <c r="F86" s="101">
        <f aca="true" t="shared" si="27" ref="F86:P86">F87</f>
        <v>22344000</v>
      </c>
      <c r="G86" s="101">
        <f t="shared" si="27"/>
        <v>15629630</v>
      </c>
      <c r="H86" s="101">
        <f t="shared" si="27"/>
        <v>2274300</v>
      </c>
      <c r="I86" s="101">
        <f t="shared" si="27"/>
        <v>0</v>
      </c>
      <c r="J86" s="101">
        <f t="shared" si="27"/>
        <v>238400</v>
      </c>
      <c r="K86" s="101">
        <f t="shared" si="27"/>
        <v>30000</v>
      </c>
      <c r="L86" s="101">
        <f t="shared" si="27"/>
        <v>208400</v>
      </c>
      <c r="M86" s="101">
        <f t="shared" si="27"/>
        <v>134800</v>
      </c>
      <c r="N86" s="101">
        <f t="shared" si="27"/>
        <v>0</v>
      </c>
      <c r="O86" s="101">
        <f t="shared" si="27"/>
        <v>30000</v>
      </c>
      <c r="P86" s="101">
        <f t="shared" si="27"/>
        <v>22582400</v>
      </c>
    </row>
    <row r="87" spans="1:16" s="110" customFormat="1" ht="37.5" customHeight="1">
      <c r="A87" s="146" t="s">
        <v>17</v>
      </c>
      <c r="B87" s="146"/>
      <c r="C87" s="146"/>
      <c r="D87" s="147" t="str">
        <f>D86</f>
        <v>Відділ культури, молоді та спорту Тетіївської міської ради</v>
      </c>
      <c r="E87" s="101">
        <f>E88+E90+E92+E94+E100</f>
        <v>22344000</v>
      </c>
      <c r="F87" s="101">
        <f aca="true" t="shared" si="28" ref="F87:P87">F88+F90+F92+F94+F100</f>
        <v>22344000</v>
      </c>
      <c r="G87" s="101">
        <f t="shared" si="28"/>
        <v>15629630</v>
      </c>
      <c r="H87" s="101">
        <f t="shared" si="28"/>
        <v>2274300</v>
      </c>
      <c r="I87" s="101">
        <f t="shared" si="28"/>
        <v>0</v>
      </c>
      <c r="J87" s="101">
        <f t="shared" si="28"/>
        <v>238400</v>
      </c>
      <c r="K87" s="101">
        <f t="shared" si="28"/>
        <v>30000</v>
      </c>
      <c r="L87" s="101">
        <f t="shared" si="28"/>
        <v>208400</v>
      </c>
      <c r="M87" s="101">
        <f t="shared" si="28"/>
        <v>134800</v>
      </c>
      <c r="N87" s="101">
        <f t="shared" si="28"/>
        <v>0</v>
      </c>
      <c r="O87" s="101">
        <f t="shared" si="28"/>
        <v>30000</v>
      </c>
      <c r="P87" s="101">
        <f t="shared" si="28"/>
        <v>22582400</v>
      </c>
    </row>
    <row r="88" spans="1:16" s="110" customFormat="1" ht="37.5" customHeight="1">
      <c r="A88" s="146"/>
      <c r="B88" s="146" t="s">
        <v>89</v>
      </c>
      <c r="C88" s="146"/>
      <c r="D88" s="147" t="s">
        <v>90</v>
      </c>
      <c r="E88" s="101">
        <f>E89</f>
        <v>460300</v>
      </c>
      <c r="F88" s="101">
        <f aca="true" t="shared" si="29" ref="F88:P88">F89</f>
        <v>460300</v>
      </c>
      <c r="G88" s="101">
        <f t="shared" si="29"/>
        <v>377300</v>
      </c>
      <c r="H88" s="101">
        <f t="shared" si="29"/>
        <v>0</v>
      </c>
      <c r="I88" s="101">
        <f t="shared" si="29"/>
        <v>0</v>
      </c>
      <c r="J88" s="101">
        <f t="shared" si="29"/>
        <v>0</v>
      </c>
      <c r="K88" s="101">
        <f t="shared" si="29"/>
        <v>0</v>
      </c>
      <c r="L88" s="101">
        <f t="shared" si="29"/>
        <v>0</v>
      </c>
      <c r="M88" s="101">
        <f t="shared" si="29"/>
        <v>0</v>
      </c>
      <c r="N88" s="101">
        <f t="shared" si="29"/>
        <v>0</v>
      </c>
      <c r="O88" s="101">
        <f t="shared" si="29"/>
        <v>0</v>
      </c>
      <c r="P88" s="101">
        <f t="shared" si="29"/>
        <v>460300</v>
      </c>
    </row>
    <row r="89" spans="1:16" s="110" customFormat="1" ht="47.25" customHeight="1">
      <c r="A89" s="6" t="s">
        <v>18</v>
      </c>
      <c r="B89" s="6" t="s">
        <v>473</v>
      </c>
      <c r="C89" s="6" t="s">
        <v>413</v>
      </c>
      <c r="D89" s="38" t="s">
        <v>203</v>
      </c>
      <c r="E89" s="37">
        <f>F89+I89</f>
        <v>460300</v>
      </c>
      <c r="F89" s="37">
        <v>460300</v>
      </c>
      <c r="G89" s="37">
        <v>377300</v>
      </c>
      <c r="H89" s="101"/>
      <c r="I89" s="101"/>
      <c r="J89" s="101"/>
      <c r="K89" s="101"/>
      <c r="L89" s="101"/>
      <c r="M89" s="101"/>
      <c r="N89" s="101"/>
      <c r="O89" s="101"/>
      <c r="P89" s="37">
        <f>J89+E89</f>
        <v>460300</v>
      </c>
    </row>
    <row r="90" spans="1:16" s="110" customFormat="1" ht="34.5" customHeight="1">
      <c r="A90" s="103"/>
      <c r="B90" s="103" t="s">
        <v>120</v>
      </c>
      <c r="C90" s="103"/>
      <c r="D90" s="104" t="s">
        <v>121</v>
      </c>
      <c r="E90" s="105">
        <f>SUM(E91)</f>
        <v>4059000</v>
      </c>
      <c r="F90" s="105">
        <f aca="true" t="shared" si="30" ref="F90:P90">SUM(F91)</f>
        <v>4059000</v>
      </c>
      <c r="G90" s="105">
        <f t="shared" si="30"/>
        <v>3020100</v>
      </c>
      <c r="H90" s="105">
        <f t="shared" si="30"/>
        <v>371500</v>
      </c>
      <c r="I90" s="105">
        <f t="shared" si="30"/>
        <v>0</v>
      </c>
      <c r="J90" s="105">
        <f t="shared" si="30"/>
        <v>190400</v>
      </c>
      <c r="K90" s="105">
        <f t="shared" si="30"/>
        <v>0</v>
      </c>
      <c r="L90" s="105">
        <f t="shared" si="30"/>
        <v>190400</v>
      </c>
      <c r="M90" s="105">
        <f t="shared" si="30"/>
        <v>134800</v>
      </c>
      <c r="N90" s="105">
        <f t="shared" si="30"/>
        <v>0</v>
      </c>
      <c r="O90" s="105">
        <f t="shared" si="30"/>
        <v>0</v>
      </c>
      <c r="P90" s="105">
        <f t="shared" si="30"/>
        <v>4249400</v>
      </c>
    </row>
    <row r="91" spans="1:16" s="110" customFormat="1" ht="36" customHeight="1">
      <c r="A91" s="6" t="s">
        <v>19</v>
      </c>
      <c r="B91" s="6" t="s">
        <v>20</v>
      </c>
      <c r="C91" s="6" t="s">
        <v>484</v>
      </c>
      <c r="D91" s="38" t="s">
        <v>182</v>
      </c>
      <c r="E91" s="37">
        <f>F91+I91</f>
        <v>4059000</v>
      </c>
      <c r="F91" s="37">
        <v>4059000</v>
      </c>
      <c r="G91" s="37">
        <v>3020100</v>
      </c>
      <c r="H91" s="37">
        <v>371500</v>
      </c>
      <c r="I91" s="37"/>
      <c r="J91" s="37">
        <f>L91+O91</f>
        <v>190400</v>
      </c>
      <c r="K91" s="37"/>
      <c r="L91" s="37">
        <v>190400</v>
      </c>
      <c r="M91" s="37">
        <v>134800</v>
      </c>
      <c r="N91" s="37"/>
      <c r="O91" s="37"/>
      <c r="P91" s="37">
        <f>J91+E91</f>
        <v>4249400</v>
      </c>
    </row>
    <row r="92" spans="1:16" s="110" customFormat="1" ht="36" customHeight="1">
      <c r="A92" s="103"/>
      <c r="B92" s="103" t="s">
        <v>133</v>
      </c>
      <c r="C92" s="103"/>
      <c r="D92" s="104" t="s">
        <v>98</v>
      </c>
      <c r="E92" s="105">
        <f>SUM(E93)</f>
        <v>12000</v>
      </c>
      <c r="F92" s="105">
        <f aca="true" t="shared" si="31" ref="F92:P92">SUM(F93)</f>
        <v>12000</v>
      </c>
      <c r="G92" s="105">
        <f t="shared" si="31"/>
        <v>0</v>
      </c>
      <c r="H92" s="105">
        <f t="shared" si="31"/>
        <v>0</v>
      </c>
      <c r="I92" s="105">
        <f t="shared" si="31"/>
        <v>0</v>
      </c>
      <c r="J92" s="105">
        <f t="shared" si="31"/>
        <v>0</v>
      </c>
      <c r="K92" s="105">
        <f t="shared" si="31"/>
        <v>0</v>
      </c>
      <c r="L92" s="105">
        <f t="shared" si="31"/>
        <v>0</v>
      </c>
      <c r="M92" s="105">
        <f t="shared" si="31"/>
        <v>0</v>
      </c>
      <c r="N92" s="105">
        <f t="shared" si="31"/>
        <v>0</v>
      </c>
      <c r="O92" s="105">
        <f t="shared" si="31"/>
        <v>0</v>
      </c>
      <c r="P92" s="105">
        <f t="shared" si="31"/>
        <v>12000</v>
      </c>
    </row>
    <row r="93" spans="1:16" s="110" customFormat="1" ht="52.5" customHeight="1">
      <c r="A93" s="6" t="s">
        <v>21</v>
      </c>
      <c r="B93" s="6" t="s">
        <v>22</v>
      </c>
      <c r="C93" s="6" t="s">
        <v>430</v>
      </c>
      <c r="D93" s="38" t="s">
        <v>23</v>
      </c>
      <c r="E93" s="37">
        <f>F93+I93</f>
        <v>12000</v>
      </c>
      <c r="F93" s="37">
        <v>12000</v>
      </c>
      <c r="G93" s="37"/>
      <c r="H93" s="37"/>
      <c r="I93" s="37"/>
      <c r="J93" s="37">
        <f aca="true" t="shared" si="32" ref="J93:J105">L93+O93</f>
        <v>0</v>
      </c>
      <c r="K93" s="37"/>
      <c r="L93" s="37"/>
      <c r="M93" s="37"/>
      <c r="N93" s="37"/>
      <c r="O93" s="37"/>
      <c r="P93" s="37">
        <f aca="true" t="shared" si="33" ref="P93:P105">J93+E93</f>
        <v>12000</v>
      </c>
    </row>
    <row r="94" spans="1:16" s="110" customFormat="1" ht="36" customHeight="1">
      <c r="A94" s="103"/>
      <c r="B94" s="103" t="s">
        <v>134</v>
      </c>
      <c r="C94" s="103"/>
      <c r="D94" s="104" t="s">
        <v>135</v>
      </c>
      <c r="E94" s="105">
        <f>SUM(E95:E99)</f>
        <v>14891179</v>
      </c>
      <c r="F94" s="105">
        <f aca="true" t="shared" si="34" ref="F94:P94">SUM(F95:F99)</f>
        <v>14891179</v>
      </c>
      <c r="G94" s="105">
        <f t="shared" si="34"/>
        <v>10186600</v>
      </c>
      <c r="H94" s="105">
        <f t="shared" si="34"/>
        <v>1839200</v>
      </c>
      <c r="I94" s="105">
        <f t="shared" si="34"/>
        <v>0</v>
      </c>
      <c r="J94" s="105">
        <f t="shared" si="34"/>
        <v>48000</v>
      </c>
      <c r="K94" s="105">
        <f t="shared" si="34"/>
        <v>30000</v>
      </c>
      <c r="L94" s="105">
        <f t="shared" si="34"/>
        <v>18000</v>
      </c>
      <c r="M94" s="105">
        <f t="shared" si="34"/>
        <v>0</v>
      </c>
      <c r="N94" s="105">
        <f t="shared" si="34"/>
        <v>0</v>
      </c>
      <c r="O94" s="105">
        <f t="shared" si="34"/>
        <v>30000</v>
      </c>
      <c r="P94" s="105">
        <f t="shared" si="34"/>
        <v>14939179</v>
      </c>
    </row>
    <row r="95" spans="1:16" s="110" customFormat="1" ht="32.25" customHeight="1">
      <c r="A95" s="6" t="s">
        <v>24</v>
      </c>
      <c r="B95" s="6" t="s">
        <v>25</v>
      </c>
      <c r="C95" s="6" t="s">
        <v>26</v>
      </c>
      <c r="D95" s="38" t="s">
        <v>27</v>
      </c>
      <c r="E95" s="37">
        <f>F95+I95</f>
        <v>4760564</v>
      </c>
      <c r="F95" s="37">
        <f>4755900+4664</f>
        <v>4760564</v>
      </c>
      <c r="G95" s="37">
        <v>3485000</v>
      </c>
      <c r="H95" s="37">
        <v>380700</v>
      </c>
      <c r="I95" s="37"/>
      <c r="J95" s="37">
        <f t="shared" si="32"/>
        <v>0</v>
      </c>
      <c r="K95" s="37"/>
      <c r="L95" s="37"/>
      <c r="M95" s="37"/>
      <c r="N95" s="37"/>
      <c r="O95" s="37"/>
      <c r="P95" s="37">
        <f t="shared" si="33"/>
        <v>4760564</v>
      </c>
    </row>
    <row r="96" spans="1:16" s="110" customFormat="1" ht="32.25" customHeight="1">
      <c r="A96" s="6" t="s">
        <v>28</v>
      </c>
      <c r="B96" s="6" t="s">
        <v>29</v>
      </c>
      <c r="C96" s="6" t="s">
        <v>26</v>
      </c>
      <c r="D96" s="38" t="s">
        <v>30</v>
      </c>
      <c r="E96" s="37">
        <f aca="true" t="shared" si="35" ref="E96:E105">F96+I96</f>
        <v>430300</v>
      </c>
      <c r="F96" s="37">
        <v>430300</v>
      </c>
      <c r="G96" s="37">
        <v>245000</v>
      </c>
      <c r="H96" s="37">
        <v>128400</v>
      </c>
      <c r="I96" s="37"/>
      <c r="J96" s="37">
        <f t="shared" si="32"/>
        <v>0</v>
      </c>
      <c r="K96" s="37"/>
      <c r="L96" s="37"/>
      <c r="M96" s="37"/>
      <c r="N96" s="37"/>
      <c r="O96" s="37"/>
      <c r="P96" s="37">
        <f t="shared" si="33"/>
        <v>430300</v>
      </c>
    </row>
    <row r="97" spans="1:16" s="110" customFormat="1" ht="41.25" customHeight="1">
      <c r="A97" s="6" t="s">
        <v>31</v>
      </c>
      <c r="B97" s="6" t="s">
        <v>32</v>
      </c>
      <c r="C97" s="6" t="s">
        <v>33</v>
      </c>
      <c r="D97" s="38" t="s">
        <v>35</v>
      </c>
      <c r="E97" s="37">
        <f t="shared" si="35"/>
        <v>8596200</v>
      </c>
      <c r="F97" s="37">
        <f>8538600+57600</f>
        <v>8596200</v>
      </c>
      <c r="G97" s="37">
        <v>5654000</v>
      </c>
      <c r="H97" s="37">
        <v>1330100</v>
      </c>
      <c r="I97" s="37"/>
      <c r="J97" s="37">
        <f t="shared" si="32"/>
        <v>48000</v>
      </c>
      <c r="K97" s="37">
        <f>30000</f>
        <v>30000</v>
      </c>
      <c r="L97" s="37">
        <v>18000</v>
      </c>
      <c r="M97" s="37"/>
      <c r="N97" s="37"/>
      <c r="O97" s="37">
        <f>30000</f>
        <v>30000</v>
      </c>
      <c r="P97" s="37">
        <f t="shared" si="33"/>
        <v>8644200</v>
      </c>
    </row>
    <row r="98" spans="1:16" s="110" customFormat="1" ht="37.5" customHeight="1">
      <c r="A98" s="6" t="s">
        <v>36</v>
      </c>
      <c r="B98" s="6" t="s">
        <v>37</v>
      </c>
      <c r="C98" s="6" t="s">
        <v>38</v>
      </c>
      <c r="D98" s="38" t="s">
        <v>39</v>
      </c>
      <c r="E98" s="37">
        <f t="shared" si="35"/>
        <v>1011700</v>
      </c>
      <c r="F98" s="37">
        <f>1005800+5900</f>
        <v>1011700</v>
      </c>
      <c r="G98" s="37">
        <f>797800+4800</f>
        <v>802600</v>
      </c>
      <c r="H98" s="37"/>
      <c r="I98" s="37"/>
      <c r="J98" s="37">
        <f t="shared" si="32"/>
        <v>0</v>
      </c>
      <c r="K98" s="37"/>
      <c r="L98" s="37"/>
      <c r="M98" s="37"/>
      <c r="N98" s="37"/>
      <c r="O98" s="37"/>
      <c r="P98" s="37">
        <f t="shared" si="33"/>
        <v>1011700</v>
      </c>
    </row>
    <row r="99" spans="1:16" s="110" customFormat="1" ht="32.25" customHeight="1">
      <c r="A99" s="6" t="s">
        <v>40</v>
      </c>
      <c r="B99" s="6" t="s">
        <v>41</v>
      </c>
      <c r="C99" s="6" t="s">
        <v>38</v>
      </c>
      <c r="D99" s="38" t="s">
        <v>42</v>
      </c>
      <c r="E99" s="37">
        <f t="shared" si="35"/>
        <v>92415</v>
      </c>
      <c r="F99" s="37">
        <f>69000+23415</f>
        <v>92415</v>
      </c>
      <c r="G99" s="37"/>
      <c r="H99" s="37"/>
      <c r="I99" s="37"/>
      <c r="J99" s="37">
        <f t="shared" si="32"/>
        <v>0</v>
      </c>
      <c r="K99" s="37"/>
      <c r="L99" s="37"/>
      <c r="M99" s="37"/>
      <c r="N99" s="37"/>
      <c r="O99" s="37"/>
      <c r="P99" s="37">
        <f t="shared" si="33"/>
        <v>92415</v>
      </c>
    </row>
    <row r="100" spans="1:16" s="110" customFormat="1" ht="36" customHeight="1">
      <c r="A100" s="103"/>
      <c r="B100" s="103" t="s">
        <v>130</v>
      </c>
      <c r="C100" s="103"/>
      <c r="D100" s="104" t="s">
        <v>131</v>
      </c>
      <c r="E100" s="105">
        <f aca="true" t="shared" si="36" ref="E100:P100">SUM(E101:E105)</f>
        <v>2921521</v>
      </c>
      <c r="F100" s="105">
        <f t="shared" si="36"/>
        <v>2921521</v>
      </c>
      <c r="G100" s="105">
        <f t="shared" si="36"/>
        <v>2045630</v>
      </c>
      <c r="H100" s="105">
        <f t="shared" si="36"/>
        <v>63600</v>
      </c>
      <c r="I100" s="105">
        <f t="shared" si="36"/>
        <v>0</v>
      </c>
      <c r="J100" s="105">
        <f t="shared" si="36"/>
        <v>0</v>
      </c>
      <c r="K100" s="105">
        <f t="shared" si="36"/>
        <v>0</v>
      </c>
      <c r="L100" s="105">
        <f t="shared" si="36"/>
        <v>0</v>
      </c>
      <c r="M100" s="105">
        <f t="shared" si="36"/>
        <v>0</v>
      </c>
      <c r="N100" s="105">
        <f t="shared" si="36"/>
        <v>0</v>
      </c>
      <c r="O100" s="105">
        <f t="shared" si="36"/>
        <v>0</v>
      </c>
      <c r="P100" s="105">
        <f t="shared" si="36"/>
        <v>2921521</v>
      </c>
    </row>
    <row r="101" spans="1:16" s="110" customFormat="1" ht="41.25" customHeight="1">
      <c r="A101" s="6" t="s">
        <v>43</v>
      </c>
      <c r="B101" s="6" t="s">
        <v>44</v>
      </c>
      <c r="C101" s="6" t="s">
        <v>14</v>
      </c>
      <c r="D101" s="38" t="s">
        <v>45</v>
      </c>
      <c r="E101" s="37">
        <f t="shared" si="35"/>
        <v>25000</v>
      </c>
      <c r="F101" s="37">
        <f>15000+10000</f>
        <v>25000</v>
      </c>
      <c r="G101" s="37"/>
      <c r="H101" s="37"/>
      <c r="I101" s="37"/>
      <c r="J101" s="37">
        <f t="shared" si="32"/>
        <v>0</v>
      </c>
      <c r="K101" s="37"/>
      <c r="L101" s="37"/>
      <c r="M101" s="37"/>
      <c r="N101" s="37"/>
      <c r="O101" s="37"/>
      <c r="P101" s="37">
        <f t="shared" si="33"/>
        <v>25000</v>
      </c>
    </row>
    <row r="102" spans="1:16" s="110" customFormat="1" ht="41.25" customHeight="1" hidden="1">
      <c r="A102" s="6" t="s">
        <v>46</v>
      </c>
      <c r="B102" s="6" t="s">
        <v>47</v>
      </c>
      <c r="C102" s="6" t="s">
        <v>14</v>
      </c>
      <c r="D102" s="38" t="s">
        <v>48</v>
      </c>
      <c r="E102" s="37">
        <f t="shared" si="35"/>
        <v>0</v>
      </c>
      <c r="F102" s="37">
        <f>1000-1000</f>
        <v>0</v>
      </c>
      <c r="G102" s="37"/>
      <c r="H102" s="37"/>
      <c r="I102" s="37"/>
      <c r="J102" s="37">
        <f t="shared" si="32"/>
        <v>0</v>
      </c>
      <c r="K102" s="37"/>
      <c r="L102" s="37"/>
      <c r="M102" s="37"/>
      <c r="N102" s="37"/>
      <c r="O102" s="37"/>
      <c r="P102" s="37">
        <f t="shared" si="33"/>
        <v>0</v>
      </c>
    </row>
    <row r="103" spans="1:16" s="110" customFormat="1" ht="34.5" customHeight="1">
      <c r="A103" s="6" t="s">
        <v>223</v>
      </c>
      <c r="B103" s="6" t="s">
        <v>13</v>
      </c>
      <c r="C103" s="6" t="s">
        <v>14</v>
      </c>
      <c r="D103" s="38" t="s">
        <v>15</v>
      </c>
      <c r="E103" s="37">
        <f t="shared" si="35"/>
        <v>1721460</v>
      </c>
      <c r="F103" s="37">
        <f>1502600+50000+168860</f>
        <v>1721460</v>
      </c>
      <c r="G103" s="37">
        <f>1108700+138410</f>
        <v>1247110</v>
      </c>
      <c r="H103" s="37"/>
      <c r="I103" s="37"/>
      <c r="J103" s="37">
        <f t="shared" si="32"/>
        <v>0</v>
      </c>
      <c r="K103" s="37"/>
      <c r="L103" s="37"/>
      <c r="M103" s="37"/>
      <c r="N103" s="37"/>
      <c r="O103" s="37"/>
      <c r="P103" s="37">
        <f t="shared" si="33"/>
        <v>1721460</v>
      </c>
    </row>
    <row r="104" spans="1:16" s="110" customFormat="1" ht="35.25" customHeight="1">
      <c r="A104" s="6" t="s">
        <v>49</v>
      </c>
      <c r="B104" s="6" t="s">
        <v>50</v>
      </c>
      <c r="C104" s="6" t="s">
        <v>14</v>
      </c>
      <c r="D104" s="38" t="s">
        <v>51</v>
      </c>
      <c r="E104" s="37">
        <f>F104+I104</f>
        <v>714891</v>
      </c>
      <c r="F104" s="37">
        <f>622900+41991+50000</f>
        <v>714891</v>
      </c>
      <c r="G104" s="37">
        <f>479100+33220</f>
        <v>512320</v>
      </c>
      <c r="H104" s="37">
        <v>63600</v>
      </c>
      <c r="I104" s="37"/>
      <c r="J104" s="37">
        <f>L104+O104</f>
        <v>0</v>
      </c>
      <c r="K104" s="37"/>
      <c r="L104" s="37"/>
      <c r="M104" s="37"/>
      <c r="N104" s="37"/>
      <c r="O104" s="37"/>
      <c r="P104" s="37">
        <f>J104+E104</f>
        <v>714891</v>
      </c>
    </row>
    <row r="105" spans="1:16" s="110" customFormat="1" ht="64.5" customHeight="1">
      <c r="A105" s="6" t="s">
        <v>158</v>
      </c>
      <c r="B105" s="6" t="s">
        <v>159</v>
      </c>
      <c r="C105" s="6" t="s">
        <v>14</v>
      </c>
      <c r="D105" s="38" t="s">
        <v>160</v>
      </c>
      <c r="E105" s="37">
        <f t="shared" si="35"/>
        <v>460170</v>
      </c>
      <c r="F105" s="37">
        <f>418400-50000+41770+50000</f>
        <v>460170</v>
      </c>
      <c r="G105" s="37">
        <f>252000+34200</f>
        <v>286200</v>
      </c>
      <c r="H105" s="37"/>
      <c r="I105" s="37"/>
      <c r="J105" s="37">
        <f t="shared" si="32"/>
        <v>0</v>
      </c>
      <c r="K105" s="37"/>
      <c r="L105" s="37"/>
      <c r="M105" s="37"/>
      <c r="N105" s="37"/>
      <c r="O105" s="37"/>
      <c r="P105" s="37">
        <f t="shared" si="33"/>
        <v>460170</v>
      </c>
    </row>
    <row r="106" spans="1:16" s="112" customFormat="1" ht="35.25" customHeight="1">
      <c r="A106" s="146" t="s">
        <v>52</v>
      </c>
      <c r="B106" s="146"/>
      <c r="C106" s="146"/>
      <c r="D106" s="147" t="s">
        <v>136</v>
      </c>
      <c r="E106" s="101">
        <f>E107</f>
        <v>7130200</v>
      </c>
      <c r="F106" s="101">
        <f aca="true" t="shared" si="37" ref="F106:P106">F107</f>
        <v>2130200</v>
      </c>
      <c r="G106" s="101">
        <f t="shared" si="37"/>
        <v>1755000</v>
      </c>
      <c r="H106" s="101">
        <f t="shared" si="37"/>
        <v>0</v>
      </c>
      <c r="I106" s="101">
        <f t="shared" si="37"/>
        <v>0</v>
      </c>
      <c r="J106" s="101">
        <f t="shared" si="37"/>
        <v>92000</v>
      </c>
      <c r="K106" s="101">
        <f t="shared" si="37"/>
        <v>92000</v>
      </c>
      <c r="L106" s="101">
        <f t="shared" si="37"/>
        <v>0</v>
      </c>
      <c r="M106" s="101">
        <f t="shared" si="37"/>
        <v>0</v>
      </c>
      <c r="N106" s="101">
        <f t="shared" si="37"/>
        <v>0</v>
      </c>
      <c r="O106" s="101">
        <f t="shared" si="37"/>
        <v>92000</v>
      </c>
      <c r="P106" s="101">
        <f t="shared" si="37"/>
        <v>7222200</v>
      </c>
    </row>
    <row r="107" spans="1:16" s="112" customFormat="1" ht="35.25" customHeight="1">
      <c r="A107" s="146" t="s">
        <v>53</v>
      </c>
      <c r="B107" s="146"/>
      <c r="C107" s="146"/>
      <c r="D107" s="147" t="str">
        <f>D106</f>
        <v>Управління фінансів Тетіївської міської ради</v>
      </c>
      <c r="E107" s="101">
        <f>E108+E110+E112</f>
        <v>7130200</v>
      </c>
      <c r="F107" s="101">
        <f aca="true" t="shared" si="38" ref="F107:P107">F108+F110+F112</f>
        <v>2130200</v>
      </c>
      <c r="G107" s="101">
        <f t="shared" si="38"/>
        <v>1755000</v>
      </c>
      <c r="H107" s="101">
        <f t="shared" si="38"/>
        <v>0</v>
      </c>
      <c r="I107" s="101">
        <f t="shared" si="38"/>
        <v>0</v>
      </c>
      <c r="J107" s="101">
        <f t="shared" si="38"/>
        <v>92000</v>
      </c>
      <c r="K107" s="101">
        <f t="shared" si="38"/>
        <v>92000</v>
      </c>
      <c r="L107" s="101">
        <f t="shared" si="38"/>
        <v>0</v>
      </c>
      <c r="M107" s="101">
        <f t="shared" si="38"/>
        <v>0</v>
      </c>
      <c r="N107" s="101">
        <f t="shared" si="38"/>
        <v>0</v>
      </c>
      <c r="O107" s="101">
        <f t="shared" si="38"/>
        <v>92000</v>
      </c>
      <c r="P107" s="101">
        <f t="shared" si="38"/>
        <v>7222200</v>
      </c>
    </row>
    <row r="108" spans="1:16" s="112" customFormat="1" ht="35.25" customHeight="1">
      <c r="A108" s="146"/>
      <c r="B108" s="146" t="s">
        <v>89</v>
      </c>
      <c r="C108" s="146"/>
      <c r="D108" s="147" t="s">
        <v>90</v>
      </c>
      <c r="E108" s="101">
        <f>SUM(E109)</f>
        <v>2130200</v>
      </c>
      <c r="F108" s="101">
        <f aca="true" t="shared" si="39" ref="F108:P108">SUM(F109)</f>
        <v>2130200</v>
      </c>
      <c r="G108" s="101">
        <f t="shared" si="39"/>
        <v>1755000</v>
      </c>
      <c r="H108" s="101">
        <f t="shared" si="39"/>
        <v>0</v>
      </c>
      <c r="I108" s="101">
        <f t="shared" si="39"/>
        <v>0</v>
      </c>
      <c r="J108" s="101">
        <f t="shared" si="39"/>
        <v>92000</v>
      </c>
      <c r="K108" s="101">
        <f t="shared" si="39"/>
        <v>92000</v>
      </c>
      <c r="L108" s="101">
        <f t="shared" si="39"/>
        <v>0</v>
      </c>
      <c r="M108" s="101">
        <f t="shared" si="39"/>
        <v>0</v>
      </c>
      <c r="N108" s="101">
        <f t="shared" si="39"/>
        <v>0</v>
      </c>
      <c r="O108" s="101">
        <f t="shared" si="39"/>
        <v>92000</v>
      </c>
      <c r="P108" s="101">
        <f t="shared" si="39"/>
        <v>2222200</v>
      </c>
    </row>
    <row r="109" spans="1:16" s="110" customFormat="1" ht="48" customHeight="1">
      <c r="A109" s="6" t="s">
        <v>54</v>
      </c>
      <c r="B109" s="6" t="s">
        <v>473</v>
      </c>
      <c r="C109" s="6" t="s">
        <v>413</v>
      </c>
      <c r="D109" s="38" t="s">
        <v>203</v>
      </c>
      <c r="E109" s="37">
        <f>F109+I109</f>
        <v>2130200</v>
      </c>
      <c r="F109" s="37">
        <v>2130200</v>
      </c>
      <c r="G109" s="37">
        <v>1755000</v>
      </c>
      <c r="H109" s="37"/>
      <c r="I109" s="37"/>
      <c r="J109" s="37">
        <f>L109+O109</f>
        <v>92000</v>
      </c>
      <c r="K109" s="37">
        <f>75762+16238</f>
        <v>92000</v>
      </c>
      <c r="L109" s="37"/>
      <c r="M109" s="37"/>
      <c r="N109" s="37"/>
      <c r="O109" s="37">
        <f>75762+16238</f>
        <v>92000</v>
      </c>
      <c r="P109" s="37">
        <f>J109+E109</f>
        <v>2222200</v>
      </c>
    </row>
    <row r="110" spans="1:16" s="110" customFormat="1" ht="39.75" customHeight="1">
      <c r="A110" s="103"/>
      <c r="B110" s="103" t="s">
        <v>116</v>
      </c>
      <c r="C110" s="103"/>
      <c r="D110" s="104" t="s">
        <v>117</v>
      </c>
      <c r="E110" s="105">
        <f>SUM(E111)</f>
        <v>5000000</v>
      </c>
      <c r="F110" s="105">
        <f aca="true" t="shared" si="40" ref="F110:P110">SUM(F111)</f>
        <v>0</v>
      </c>
      <c r="G110" s="105">
        <f t="shared" si="40"/>
        <v>0</v>
      </c>
      <c r="H110" s="105">
        <f t="shared" si="40"/>
        <v>0</v>
      </c>
      <c r="I110" s="105">
        <f t="shared" si="40"/>
        <v>0</v>
      </c>
      <c r="J110" s="105">
        <f t="shared" si="40"/>
        <v>0</v>
      </c>
      <c r="K110" s="105">
        <f t="shared" si="40"/>
        <v>0</v>
      </c>
      <c r="L110" s="105">
        <f t="shared" si="40"/>
        <v>0</v>
      </c>
      <c r="M110" s="105">
        <f t="shared" si="40"/>
        <v>0</v>
      </c>
      <c r="N110" s="105">
        <f t="shared" si="40"/>
        <v>0</v>
      </c>
      <c r="O110" s="105">
        <f t="shared" si="40"/>
        <v>0</v>
      </c>
      <c r="P110" s="105">
        <f t="shared" si="40"/>
        <v>5000000</v>
      </c>
    </row>
    <row r="111" spans="1:16" s="110" customFormat="1" ht="36" customHeight="1">
      <c r="A111" s="6" t="s">
        <v>55</v>
      </c>
      <c r="B111" s="6" t="s">
        <v>56</v>
      </c>
      <c r="C111" s="6" t="s">
        <v>417</v>
      </c>
      <c r="D111" s="38" t="s">
        <v>57</v>
      </c>
      <c r="E111" s="37">
        <v>5000000</v>
      </c>
      <c r="F111" s="37"/>
      <c r="G111" s="37"/>
      <c r="H111" s="37"/>
      <c r="I111" s="37"/>
      <c r="J111" s="37">
        <f>L111+O111</f>
        <v>0</v>
      </c>
      <c r="K111" s="37">
        <f>952356-500000-126600-207562-63000-40246-14948</f>
        <v>0</v>
      </c>
      <c r="L111" s="37"/>
      <c r="M111" s="37"/>
      <c r="N111" s="37"/>
      <c r="O111" s="37">
        <f>952356-500000-126600-207562-63000-40246-14948</f>
        <v>0</v>
      </c>
      <c r="P111" s="37">
        <f>J111+E111</f>
        <v>5000000</v>
      </c>
    </row>
    <row r="112" spans="1:16" s="110" customFormat="1" ht="39.75" customHeight="1" hidden="1">
      <c r="A112" s="103"/>
      <c r="B112" s="103" t="s">
        <v>137</v>
      </c>
      <c r="C112" s="103"/>
      <c r="D112" s="104" t="s">
        <v>138</v>
      </c>
      <c r="E112" s="105">
        <f>SUM(E113:E114)</f>
        <v>0</v>
      </c>
      <c r="F112" s="105">
        <f aca="true" t="shared" si="41" ref="F112:N112">SUM(F113:F114)</f>
        <v>0</v>
      </c>
      <c r="G112" s="105">
        <f t="shared" si="41"/>
        <v>0</v>
      </c>
      <c r="H112" s="105">
        <f t="shared" si="41"/>
        <v>0</v>
      </c>
      <c r="I112" s="105">
        <f t="shared" si="41"/>
        <v>0</v>
      </c>
      <c r="J112" s="105">
        <f t="shared" si="41"/>
        <v>0</v>
      </c>
      <c r="K112" s="105">
        <f t="shared" si="41"/>
        <v>0</v>
      </c>
      <c r="L112" s="105">
        <f t="shared" si="41"/>
        <v>0</v>
      </c>
      <c r="M112" s="105">
        <f t="shared" si="41"/>
        <v>0</v>
      </c>
      <c r="N112" s="105">
        <f t="shared" si="41"/>
        <v>0</v>
      </c>
      <c r="O112" s="105">
        <f>SUM(O113:O114)</f>
        <v>0</v>
      </c>
      <c r="P112" s="105">
        <f>SUM(P113:P114)</f>
        <v>0</v>
      </c>
    </row>
    <row r="113" spans="1:16" s="110" customFormat="1" ht="36.75" customHeight="1" hidden="1">
      <c r="A113" s="6" t="s">
        <v>151</v>
      </c>
      <c r="B113" s="6" t="s">
        <v>152</v>
      </c>
      <c r="C113" s="6" t="s">
        <v>416</v>
      </c>
      <c r="D113" s="38" t="s">
        <v>150</v>
      </c>
      <c r="E113" s="37">
        <f>F113+I113</f>
        <v>0</v>
      </c>
      <c r="F113" s="37"/>
      <c r="G113" s="37"/>
      <c r="H113" s="37"/>
      <c r="I113" s="37"/>
      <c r="J113" s="37">
        <f>L113+O113</f>
        <v>0</v>
      </c>
      <c r="K113" s="37"/>
      <c r="L113" s="37"/>
      <c r="M113" s="37"/>
      <c r="N113" s="37"/>
      <c r="O113" s="37"/>
      <c r="P113" s="37">
        <f>J113+E113</f>
        <v>0</v>
      </c>
    </row>
    <row r="114" spans="1:16" s="110" customFormat="1" ht="36.75" customHeight="1" hidden="1">
      <c r="A114" s="6" t="s">
        <v>183</v>
      </c>
      <c r="B114" s="6" t="s">
        <v>184</v>
      </c>
      <c r="C114" s="6" t="s">
        <v>416</v>
      </c>
      <c r="D114" s="38" t="s">
        <v>185</v>
      </c>
      <c r="E114" s="37">
        <f>F114+I114</f>
        <v>0</v>
      </c>
      <c r="F114" s="37"/>
      <c r="G114" s="37"/>
      <c r="H114" s="37"/>
      <c r="I114" s="37"/>
      <c r="J114" s="37">
        <f>L114+O114</f>
        <v>0</v>
      </c>
      <c r="K114" s="37"/>
      <c r="L114" s="37"/>
      <c r="M114" s="37"/>
      <c r="N114" s="37"/>
      <c r="O114" s="37"/>
      <c r="P114" s="37">
        <f>J114+E114</f>
        <v>0</v>
      </c>
    </row>
    <row r="115" spans="1:16" s="110" customFormat="1" ht="41.25" customHeight="1" hidden="1">
      <c r="A115" s="6"/>
      <c r="B115" s="6"/>
      <c r="C115" s="6"/>
      <c r="D115" s="102"/>
      <c r="E115" s="37">
        <f>F115+I115</f>
        <v>0</v>
      </c>
      <c r="F115" s="37"/>
      <c r="G115" s="37"/>
      <c r="H115" s="37"/>
      <c r="I115" s="37"/>
      <c r="J115" s="37">
        <f>L115+O115</f>
        <v>0</v>
      </c>
      <c r="K115" s="37"/>
      <c r="L115" s="37"/>
      <c r="M115" s="37"/>
      <c r="N115" s="37"/>
      <c r="O115" s="37"/>
      <c r="P115" s="37">
        <f>J115+E115</f>
        <v>0</v>
      </c>
    </row>
    <row r="116" spans="1:16" s="110" customFormat="1" ht="31.5" customHeight="1">
      <c r="A116" s="108" t="s">
        <v>372</v>
      </c>
      <c r="B116" s="108" t="s">
        <v>372</v>
      </c>
      <c r="C116" s="108" t="s">
        <v>372</v>
      </c>
      <c r="D116" s="108" t="s">
        <v>58</v>
      </c>
      <c r="E116" s="101">
        <f aca="true" t="shared" si="42" ref="E116:P116">E16+E51+E86+E106+E72</f>
        <v>303268610</v>
      </c>
      <c r="F116" s="101">
        <f t="shared" si="42"/>
        <v>276666140</v>
      </c>
      <c r="G116" s="101">
        <f t="shared" si="42"/>
        <v>188629070</v>
      </c>
      <c r="H116" s="101">
        <f t="shared" si="42"/>
        <v>26649675</v>
      </c>
      <c r="I116" s="101">
        <f t="shared" si="42"/>
        <v>21602470</v>
      </c>
      <c r="J116" s="101">
        <f t="shared" si="42"/>
        <v>7339246</v>
      </c>
      <c r="K116" s="101">
        <f t="shared" si="42"/>
        <v>2262310</v>
      </c>
      <c r="L116" s="101">
        <f t="shared" si="42"/>
        <v>4976936</v>
      </c>
      <c r="M116" s="101">
        <f t="shared" si="42"/>
        <v>134800</v>
      </c>
      <c r="N116" s="101">
        <f t="shared" si="42"/>
        <v>0</v>
      </c>
      <c r="O116" s="101">
        <f t="shared" si="42"/>
        <v>2362310</v>
      </c>
      <c r="P116" s="101">
        <f t="shared" si="42"/>
        <v>310607856</v>
      </c>
    </row>
    <row r="117" spans="1:16" s="109" customFormat="1" ht="13.5">
      <c r="A117" s="113"/>
      <c r="B117" s="114"/>
      <c r="C117" s="114"/>
      <c r="D117" s="115"/>
      <c r="E117" s="116"/>
      <c r="F117" s="116"/>
      <c r="G117" s="116"/>
      <c r="H117" s="116"/>
      <c r="I117" s="116"/>
      <c r="J117" s="116"/>
      <c r="K117" s="116"/>
      <c r="L117" s="116"/>
      <c r="M117" s="116"/>
      <c r="N117" s="116"/>
      <c r="O117" s="116"/>
      <c r="P117" s="116"/>
    </row>
    <row r="118" spans="1:16" s="117" customFormat="1" ht="52.5" customHeight="1">
      <c r="A118" s="247" t="str">
        <f>додаток1!A131</f>
        <v>Секретар міської ради                                                                        Наталія  ІВАНЮТА</v>
      </c>
      <c r="B118" s="247"/>
      <c r="C118" s="247"/>
      <c r="D118" s="247"/>
      <c r="E118" s="247"/>
      <c r="F118" s="247"/>
      <c r="G118" s="247"/>
      <c r="H118" s="247"/>
      <c r="I118" s="247"/>
      <c r="J118" s="247"/>
      <c r="K118" s="247"/>
      <c r="L118" s="247"/>
      <c r="M118" s="247"/>
      <c r="N118" s="247"/>
      <c r="O118" s="247"/>
      <c r="P118" s="247"/>
    </row>
    <row r="119" spans="1:16" s="109" customFormat="1" ht="13.5">
      <c r="A119" s="113"/>
      <c r="B119" s="114"/>
      <c r="C119" s="114"/>
      <c r="D119" s="115"/>
      <c r="E119" s="116"/>
      <c r="F119" s="116"/>
      <c r="G119" s="116"/>
      <c r="H119" s="116"/>
      <c r="I119" s="116"/>
      <c r="J119" s="116"/>
      <c r="K119" s="116"/>
      <c r="L119" s="116"/>
      <c r="M119" s="116"/>
      <c r="N119" s="116"/>
      <c r="O119" s="116"/>
      <c r="P119" s="116"/>
    </row>
    <row r="120" spans="1:16" s="109" customFormat="1" ht="13.5">
      <c r="A120" s="113"/>
      <c r="B120" s="114"/>
      <c r="C120" s="114"/>
      <c r="D120" s="115"/>
      <c r="E120" s="116"/>
      <c r="F120" s="116"/>
      <c r="G120" s="116"/>
      <c r="H120" s="116"/>
      <c r="I120" s="116"/>
      <c r="J120" s="116"/>
      <c r="K120" s="116"/>
      <c r="L120" s="116"/>
      <c r="M120" s="116"/>
      <c r="N120" s="116"/>
      <c r="O120" s="116"/>
      <c r="P120" s="116"/>
    </row>
    <row r="121" spans="1:16" s="122" customFormat="1" ht="21">
      <c r="A121" s="118"/>
      <c r="B121" s="119"/>
      <c r="C121" s="119"/>
      <c r="D121" s="120" t="s">
        <v>139</v>
      </c>
      <c r="E121" s="121">
        <f>додаток1!D129+'Додаток 2'!D15-'Додаток 3'!E116</f>
        <v>0</v>
      </c>
      <c r="F121" s="121"/>
      <c r="G121" s="121"/>
      <c r="H121" s="121"/>
      <c r="I121" s="121"/>
      <c r="J121" s="121">
        <f>додаток1!E129+'Додаток 2'!E15-'Додаток 3'!J116</f>
        <v>0</v>
      </c>
      <c r="K121" s="121"/>
      <c r="L121" s="121"/>
      <c r="M121" s="121"/>
      <c r="N121" s="121"/>
      <c r="O121" s="121">
        <v>0</v>
      </c>
      <c r="P121" s="121">
        <f>додаток1!C129+'Додаток 2'!C15-'Додаток 3'!P116</f>
        <v>0</v>
      </c>
    </row>
    <row r="122" spans="1:16" s="109" customFormat="1" ht="13.5">
      <c r="A122" s="113"/>
      <c r="B122" s="114"/>
      <c r="C122" s="114"/>
      <c r="D122" s="115"/>
      <c r="E122" s="116"/>
      <c r="F122" s="116"/>
      <c r="G122" s="116"/>
      <c r="H122" s="116"/>
      <c r="I122" s="116"/>
      <c r="J122" s="116"/>
      <c r="K122" s="116"/>
      <c r="L122" s="116"/>
      <c r="M122" s="116"/>
      <c r="N122" s="116"/>
      <c r="O122" s="116"/>
      <c r="P122" s="116"/>
    </row>
    <row r="123" spans="1:16" s="109" customFormat="1" ht="13.5">
      <c r="A123" s="113"/>
      <c r="B123" s="114"/>
      <c r="C123" s="114"/>
      <c r="D123" s="115"/>
      <c r="E123" s="116"/>
      <c r="F123" s="116"/>
      <c r="G123" s="116"/>
      <c r="H123" s="116"/>
      <c r="I123" s="116"/>
      <c r="J123" s="116"/>
      <c r="K123" s="116"/>
      <c r="L123" s="116"/>
      <c r="M123" s="116"/>
      <c r="N123" s="116"/>
      <c r="O123" s="116"/>
      <c r="P123" s="116"/>
    </row>
    <row r="124" spans="1:16" s="109" customFormat="1" ht="13.5">
      <c r="A124" s="113"/>
      <c r="B124" s="114"/>
      <c r="C124" s="114"/>
      <c r="D124" s="115"/>
      <c r="E124" s="116"/>
      <c r="F124" s="116"/>
      <c r="G124" s="116"/>
      <c r="H124" s="116"/>
      <c r="I124" s="116"/>
      <c r="J124" s="116"/>
      <c r="K124" s="116"/>
      <c r="L124" s="116"/>
      <c r="M124" s="116"/>
      <c r="N124" s="116"/>
      <c r="O124" s="116"/>
      <c r="P124" s="116"/>
    </row>
    <row r="125" spans="1:16" s="109" customFormat="1" ht="13.5">
      <c r="A125" s="113"/>
      <c r="B125" s="114"/>
      <c r="C125" s="114"/>
      <c r="D125" s="115"/>
      <c r="E125" s="116"/>
      <c r="F125" s="116"/>
      <c r="G125" s="116"/>
      <c r="H125" s="116"/>
      <c r="I125" s="116"/>
      <c r="J125" s="116"/>
      <c r="K125" s="116"/>
      <c r="L125" s="116"/>
      <c r="M125" s="116"/>
      <c r="N125" s="116"/>
      <c r="O125" s="116"/>
      <c r="P125" s="116"/>
    </row>
    <row r="126" spans="1:16" s="109" customFormat="1" ht="13.5">
      <c r="A126" s="113"/>
      <c r="B126" s="114"/>
      <c r="C126" s="114"/>
      <c r="D126" s="115"/>
      <c r="E126" s="116"/>
      <c r="F126" s="116"/>
      <c r="G126" s="116"/>
      <c r="H126" s="116"/>
      <c r="I126" s="116"/>
      <c r="J126" s="116"/>
      <c r="K126" s="116"/>
      <c r="L126" s="116"/>
      <c r="M126" s="116"/>
      <c r="N126" s="116"/>
      <c r="O126" s="116"/>
      <c r="P126" s="116"/>
    </row>
    <row r="127" spans="1:16" s="109" customFormat="1" ht="13.5">
      <c r="A127" s="113"/>
      <c r="B127" s="114"/>
      <c r="C127" s="114"/>
      <c r="D127" s="115"/>
      <c r="E127" s="116"/>
      <c r="F127" s="116"/>
      <c r="G127" s="116"/>
      <c r="H127" s="116"/>
      <c r="I127" s="116"/>
      <c r="J127" s="116"/>
      <c r="K127" s="116"/>
      <c r="L127" s="116"/>
      <c r="M127" s="116"/>
      <c r="N127" s="116"/>
      <c r="O127" s="116"/>
      <c r="P127" s="116"/>
    </row>
    <row r="128" spans="1:16" s="109" customFormat="1" ht="13.5">
      <c r="A128" s="113"/>
      <c r="B128" s="114"/>
      <c r="C128" s="114"/>
      <c r="D128" s="115"/>
      <c r="E128" s="116"/>
      <c r="F128" s="116"/>
      <c r="G128" s="116"/>
      <c r="H128" s="116"/>
      <c r="I128" s="116"/>
      <c r="J128" s="116"/>
      <c r="K128" s="116"/>
      <c r="L128" s="116"/>
      <c r="M128" s="116"/>
      <c r="N128" s="116"/>
      <c r="O128" s="116"/>
      <c r="P128" s="116"/>
    </row>
    <row r="129" spans="1:16" s="109" customFormat="1" ht="13.5">
      <c r="A129" s="113"/>
      <c r="B129" s="114"/>
      <c r="C129" s="114"/>
      <c r="D129" s="115"/>
      <c r="E129" s="116"/>
      <c r="F129" s="116"/>
      <c r="G129" s="116"/>
      <c r="H129" s="116"/>
      <c r="I129" s="116"/>
      <c r="J129" s="116"/>
      <c r="K129" s="116"/>
      <c r="L129" s="116"/>
      <c r="M129" s="116"/>
      <c r="N129" s="116"/>
      <c r="O129" s="116"/>
      <c r="P129" s="116"/>
    </row>
    <row r="130" spans="1:16" s="109" customFormat="1" ht="13.5">
      <c r="A130" s="113"/>
      <c r="B130" s="114"/>
      <c r="C130" s="114"/>
      <c r="D130" s="115"/>
      <c r="E130" s="116"/>
      <c r="F130" s="116"/>
      <c r="G130" s="116"/>
      <c r="H130" s="116"/>
      <c r="I130" s="116"/>
      <c r="J130" s="116"/>
      <c r="K130" s="116"/>
      <c r="L130" s="116"/>
      <c r="M130" s="116"/>
      <c r="N130" s="116"/>
      <c r="O130" s="116"/>
      <c r="P130" s="116"/>
    </row>
    <row r="131" spans="1:16" s="109" customFormat="1" ht="13.5">
      <c r="A131" s="113"/>
      <c r="B131" s="114"/>
      <c r="C131" s="114"/>
      <c r="D131" s="115"/>
      <c r="E131" s="116"/>
      <c r="F131" s="116"/>
      <c r="G131" s="116"/>
      <c r="H131" s="116"/>
      <c r="I131" s="116"/>
      <c r="J131" s="116"/>
      <c r="K131" s="116"/>
      <c r="L131" s="116"/>
      <c r="M131" s="116"/>
      <c r="N131" s="116"/>
      <c r="O131" s="116"/>
      <c r="P131" s="116"/>
    </row>
    <row r="132" spans="1:16" s="109" customFormat="1" ht="13.5">
      <c r="A132" s="113"/>
      <c r="B132" s="114"/>
      <c r="C132" s="114"/>
      <c r="D132" s="115"/>
      <c r="E132" s="116"/>
      <c r="F132" s="116"/>
      <c r="G132" s="116"/>
      <c r="H132" s="116"/>
      <c r="I132" s="116"/>
      <c r="J132" s="116"/>
      <c r="K132" s="116"/>
      <c r="L132" s="116"/>
      <c r="M132" s="116"/>
      <c r="N132" s="116"/>
      <c r="O132" s="116"/>
      <c r="P132" s="116"/>
    </row>
    <row r="133" spans="1:16" s="109" customFormat="1" ht="13.5">
      <c r="A133" s="113"/>
      <c r="B133" s="114"/>
      <c r="C133" s="114"/>
      <c r="D133" s="115"/>
      <c r="E133" s="116"/>
      <c r="F133" s="116"/>
      <c r="G133" s="116"/>
      <c r="H133" s="116"/>
      <c r="I133" s="116"/>
      <c r="J133" s="116"/>
      <c r="K133" s="116"/>
      <c r="L133" s="116"/>
      <c r="M133" s="116"/>
      <c r="N133" s="116"/>
      <c r="O133" s="116"/>
      <c r="P133" s="116"/>
    </row>
    <row r="134" spans="1:16" s="109" customFormat="1" ht="13.5">
      <c r="A134" s="113"/>
      <c r="B134" s="114"/>
      <c r="C134" s="114"/>
      <c r="D134" s="115"/>
      <c r="E134" s="116"/>
      <c r="F134" s="116"/>
      <c r="G134" s="116"/>
      <c r="H134" s="116"/>
      <c r="I134" s="116"/>
      <c r="J134" s="116"/>
      <c r="K134" s="116"/>
      <c r="L134" s="116"/>
      <c r="M134" s="116"/>
      <c r="N134" s="116"/>
      <c r="O134" s="116"/>
      <c r="P134" s="116"/>
    </row>
    <row r="135" spans="1:16" s="109" customFormat="1" ht="13.5">
      <c r="A135" s="113"/>
      <c r="B135" s="114"/>
      <c r="C135" s="114"/>
      <c r="D135" s="115"/>
      <c r="E135" s="116"/>
      <c r="F135" s="116"/>
      <c r="G135" s="116"/>
      <c r="H135" s="116"/>
      <c r="I135" s="116"/>
      <c r="J135" s="116"/>
      <c r="K135" s="116"/>
      <c r="L135" s="116"/>
      <c r="M135" s="116"/>
      <c r="N135" s="116"/>
      <c r="O135" s="116"/>
      <c r="P135" s="116"/>
    </row>
    <row r="136" spans="1:16" s="109" customFormat="1" ht="13.5">
      <c r="A136" s="113"/>
      <c r="B136" s="114"/>
      <c r="C136" s="114"/>
      <c r="D136" s="115"/>
      <c r="E136" s="116"/>
      <c r="F136" s="116"/>
      <c r="G136" s="116"/>
      <c r="H136" s="116"/>
      <c r="I136" s="116"/>
      <c r="J136" s="116"/>
      <c r="K136" s="116"/>
      <c r="L136" s="116"/>
      <c r="M136" s="116"/>
      <c r="N136" s="116"/>
      <c r="O136" s="116"/>
      <c r="P136" s="116"/>
    </row>
    <row r="137" spans="1:16" s="109" customFormat="1" ht="13.5">
      <c r="A137" s="113"/>
      <c r="B137" s="114"/>
      <c r="C137" s="114"/>
      <c r="D137" s="115"/>
      <c r="E137" s="116"/>
      <c r="F137" s="116"/>
      <c r="G137" s="116"/>
      <c r="H137" s="116"/>
      <c r="I137" s="116"/>
      <c r="J137" s="116"/>
      <c r="K137" s="116"/>
      <c r="L137" s="116"/>
      <c r="M137" s="116"/>
      <c r="N137" s="116"/>
      <c r="O137" s="116"/>
      <c r="P137" s="116"/>
    </row>
    <row r="138" spans="1:16" s="109" customFormat="1" ht="13.5">
      <c r="A138" s="113"/>
      <c r="B138" s="114"/>
      <c r="C138" s="114"/>
      <c r="D138" s="115"/>
      <c r="E138" s="116"/>
      <c r="F138" s="116"/>
      <c r="G138" s="116"/>
      <c r="H138" s="116"/>
      <c r="I138" s="116"/>
      <c r="J138" s="116"/>
      <c r="K138" s="116"/>
      <c r="L138" s="116"/>
      <c r="M138" s="116"/>
      <c r="N138" s="116"/>
      <c r="O138" s="116"/>
      <c r="P138" s="116"/>
    </row>
    <row r="139" spans="1:16" s="109" customFormat="1" ht="13.5">
      <c r="A139" s="113"/>
      <c r="B139" s="114"/>
      <c r="C139" s="114"/>
      <c r="D139" s="115"/>
      <c r="E139" s="116"/>
      <c r="F139" s="116"/>
      <c r="G139" s="116"/>
      <c r="H139" s="116"/>
      <c r="I139" s="116"/>
      <c r="J139" s="116"/>
      <c r="K139" s="116"/>
      <c r="L139" s="116"/>
      <c r="M139" s="116"/>
      <c r="N139" s="116"/>
      <c r="O139" s="116"/>
      <c r="P139" s="116"/>
    </row>
    <row r="140" spans="1:16" s="109" customFormat="1" ht="13.5">
      <c r="A140" s="113"/>
      <c r="B140" s="114"/>
      <c r="C140" s="114"/>
      <c r="D140" s="115"/>
      <c r="E140" s="116"/>
      <c r="F140" s="116"/>
      <c r="G140" s="116"/>
      <c r="H140" s="116"/>
      <c r="I140" s="116"/>
      <c r="J140" s="116"/>
      <c r="K140" s="116"/>
      <c r="L140" s="116"/>
      <c r="M140" s="116"/>
      <c r="N140" s="116"/>
      <c r="O140" s="116"/>
      <c r="P140" s="116"/>
    </row>
    <row r="141" spans="1:16" s="109" customFormat="1" ht="13.5">
      <c r="A141" s="113"/>
      <c r="B141" s="114"/>
      <c r="C141" s="114"/>
      <c r="D141" s="115"/>
      <c r="E141" s="116"/>
      <c r="F141" s="116"/>
      <c r="G141" s="116"/>
      <c r="H141" s="116"/>
      <c r="I141" s="116"/>
      <c r="J141" s="116"/>
      <c r="K141" s="116"/>
      <c r="L141" s="116"/>
      <c r="M141" s="116"/>
      <c r="N141" s="116"/>
      <c r="O141" s="116"/>
      <c r="P141" s="116"/>
    </row>
    <row r="142" spans="1:16" s="109" customFormat="1" ht="13.5">
      <c r="A142" s="113"/>
      <c r="B142" s="114"/>
      <c r="C142" s="114"/>
      <c r="D142" s="115"/>
      <c r="E142" s="116"/>
      <c r="F142" s="116"/>
      <c r="G142" s="116"/>
      <c r="H142" s="116"/>
      <c r="I142" s="116"/>
      <c r="J142" s="116"/>
      <c r="K142" s="116"/>
      <c r="L142" s="116"/>
      <c r="M142" s="116"/>
      <c r="N142" s="116"/>
      <c r="O142" s="116"/>
      <c r="P142" s="116"/>
    </row>
    <row r="143" spans="1:16" s="109" customFormat="1" ht="13.5">
      <c r="A143" s="113"/>
      <c r="B143" s="114"/>
      <c r="C143" s="114"/>
      <c r="D143" s="115"/>
      <c r="E143" s="116"/>
      <c r="F143" s="116"/>
      <c r="G143" s="116"/>
      <c r="H143" s="116"/>
      <c r="I143" s="116"/>
      <c r="J143" s="116"/>
      <c r="K143" s="116"/>
      <c r="L143" s="116"/>
      <c r="M143" s="116"/>
      <c r="N143" s="116"/>
      <c r="O143" s="116"/>
      <c r="P143" s="116"/>
    </row>
    <row r="144" spans="1:16" s="109" customFormat="1" ht="13.5">
      <c r="A144" s="113"/>
      <c r="B144" s="114"/>
      <c r="C144" s="114"/>
      <c r="D144" s="115"/>
      <c r="E144" s="116"/>
      <c r="F144" s="116"/>
      <c r="G144" s="116"/>
      <c r="H144" s="116"/>
      <c r="I144" s="116"/>
      <c r="J144" s="116"/>
      <c r="K144" s="116"/>
      <c r="L144" s="116"/>
      <c r="M144" s="116"/>
      <c r="N144" s="116"/>
      <c r="O144" s="116"/>
      <c r="P144" s="116"/>
    </row>
    <row r="145" spans="1:16" s="109" customFormat="1" ht="13.5">
      <c r="A145" s="113"/>
      <c r="B145" s="114"/>
      <c r="C145" s="114"/>
      <c r="D145" s="115"/>
      <c r="E145" s="116"/>
      <c r="F145" s="116"/>
      <c r="G145" s="116"/>
      <c r="H145" s="116"/>
      <c r="I145" s="116"/>
      <c r="J145" s="116"/>
      <c r="K145" s="116"/>
      <c r="L145" s="116"/>
      <c r="M145" s="116"/>
      <c r="N145" s="116"/>
      <c r="O145" s="116"/>
      <c r="P145" s="116"/>
    </row>
    <row r="146" spans="1:16" s="109" customFormat="1" ht="13.5">
      <c r="A146" s="113"/>
      <c r="B146" s="114"/>
      <c r="C146" s="114"/>
      <c r="D146" s="115"/>
      <c r="E146" s="116"/>
      <c r="F146" s="116"/>
      <c r="G146" s="116"/>
      <c r="H146" s="116"/>
      <c r="I146" s="116"/>
      <c r="J146" s="116"/>
      <c r="K146" s="116"/>
      <c r="L146" s="116"/>
      <c r="M146" s="116"/>
      <c r="N146" s="116"/>
      <c r="O146" s="116"/>
      <c r="P146" s="116"/>
    </row>
    <row r="147" spans="1:16" s="109" customFormat="1" ht="13.5">
      <c r="A147" s="113"/>
      <c r="B147" s="114"/>
      <c r="C147" s="114"/>
      <c r="D147" s="115"/>
      <c r="E147" s="116"/>
      <c r="F147" s="116"/>
      <c r="G147" s="116"/>
      <c r="H147" s="116"/>
      <c r="I147" s="116"/>
      <c r="J147" s="116"/>
      <c r="K147" s="116"/>
      <c r="L147" s="116"/>
      <c r="M147" s="116"/>
      <c r="N147" s="116"/>
      <c r="O147" s="116"/>
      <c r="P147" s="116"/>
    </row>
  </sheetData>
  <sheetProtection/>
  <mergeCells count="30">
    <mergeCell ref="L6:P6"/>
    <mergeCell ref="A118:P118"/>
    <mergeCell ref="A11:A14"/>
    <mergeCell ref="B11:B14"/>
    <mergeCell ref="C11:C14"/>
    <mergeCell ref="D11:D14"/>
    <mergeCell ref="J11:O11"/>
    <mergeCell ref="E12:E14"/>
    <mergeCell ref="F12:F14"/>
    <mergeCell ref="G13:G14"/>
    <mergeCell ref="H13:H14"/>
    <mergeCell ref="P11:P14"/>
    <mergeCell ref="I12:I14"/>
    <mergeCell ref="B7:P7"/>
    <mergeCell ref="A8:B8"/>
    <mergeCell ref="A9:B9"/>
    <mergeCell ref="E11:I11"/>
    <mergeCell ref="G12:H12"/>
    <mergeCell ref="M12:N12"/>
    <mergeCell ref="J12:J14"/>
    <mergeCell ref="K12:K14"/>
    <mergeCell ref="M1:P1"/>
    <mergeCell ref="M2:P2"/>
    <mergeCell ref="M3:P3"/>
    <mergeCell ref="L5:P5"/>
    <mergeCell ref="M4:P4"/>
    <mergeCell ref="M13:M14"/>
    <mergeCell ref="N13:N14"/>
    <mergeCell ref="O12:O14"/>
    <mergeCell ref="L12:L14"/>
  </mergeCells>
  <printOptions/>
  <pageMargins left="0.2755905511811024" right="0.1968503937007874" top="0.69" bottom="0.33" header="0.15748031496062992" footer="0"/>
  <pageSetup fitToHeight="10"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K202"/>
  <sheetViews>
    <sheetView showZeros="0" zoomScale="65" zoomScaleNormal="65" zoomScalePageLayoutView="0" workbookViewId="0" topLeftCell="A89">
      <selection activeCell="E101" sqref="E101"/>
    </sheetView>
  </sheetViews>
  <sheetFormatPr defaultColWidth="8.875" defaultRowHeight="12.75"/>
  <cols>
    <col min="1" max="1" width="14.375" style="69" customWidth="1"/>
    <col min="2" max="2" width="13.375" style="70" customWidth="1"/>
    <col min="3" max="3" width="12.75390625" style="70" customWidth="1"/>
    <col min="4" max="4" width="53.25390625" style="65" customWidth="1"/>
    <col min="5" max="5" width="71.125" style="67" customWidth="1"/>
    <col min="6" max="6" width="30.25390625" style="63" customWidth="1"/>
    <col min="7" max="7" width="18.625" style="67" customWidth="1"/>
    <col min="8" max="8" width="18.625" style="92" customWidth="1"/>
    <col min="9" max="10" width="18.625" style="67" customWidth="1"/>
    <col min="11" max="16384" width="8.875" style="67" customWidth="1"/>
  </cols>
  <sheetData>
    <row r="1" spans="6:10" ht="18">
      <c r="F1" s="71"/>
      <c r="G1" s="256" t="s">
        <v>61</v>
      </c>
      <c r="H1" s="257"/>
      <c r="I1" s="257"/>
      <c r="J1" s="257"/>
    </row>
    <row r="2" spans="1:10" ht="18">
      <c r="A2" s="30"/>
      <c r="G2" s="255" t="str">
        <f>додаток1!D2</f>
        <v>до рішення сімнадцятої сесії Тетіївської міської ради</v>
      </c>
      <c r="H2" s="257"/>
      <c r="I2" s="257"/>
      <c r="J2" s="257"/>
    </row>
    <row r="3" spans="6:10" ht="36" customHeight="1">
      <c r="F3" s="72"/>
      <c r="G3" s="258" t="str">
        <f>додаток1!D3</f>
        <v>"Про бюджет Тетіївської міської територіальної громади на 2023 рік" від 20.12.2022 № 772-17-VIII</v>
      </c>
      <c r="H3" s="259"/>
      <c r="I3" s="259"/>
      <c r="J3" s="259"/>
    </row>
    <row r="4" spans="6:10" ht="42.75" customHeight="1">
      <c r="F4" s="72"/>
      <c r="G4" s="260" t="str">
        <f>додаток1!D4</f>
        <v>(в редакції рішення дев'ятнадцятої сесії Тетіївської міської ради від 11.04.2023 № 885-19-VIII)</v>
      </c>
      <c r="H4" s="261"/>
      <c r="I4" s="261"/>
      <c r="J4" s="261"/>
    </row>
    <row r="5" spans="6:10" ht="17.25" customHeight="1">
      <c r="F5" s="255">
        <f>додаток1!C5</f>
        <v>0</v>
      </c>
      <c r="G5" s="255"/>
      <c r="H5" s="255"/>
      <c r="I5" s="255"/>
      <c r="J5" s="255"/>
    </row>
    <row r="6" spans="1:10" s="68" customFormat="1" ht="18">
      <c r="A6" s="73"/>
      <c r="B6" s="74"/>
      <c r="C6" s="74"/>
      <c r="D6" s="75"/>
      <c r="E6" s="76"/>
      <c r="F6" s="77"/>
      <c r="G6" s="76"/>
      <c r="H6" s="255"/>
      <c r="I6" s="255"/>
      <c r="J6" s="255"/>
    </row>
    <row r="7" spans="1:10" s="68" customFormat="1" ht="21" customHeight="1">
      <c r="A7" s="73"/>
      <c r="B7" s="253" t="s">
        <v>239</v>
      </c>
      <c r="C7" s="253"/>
      <c r="D7" s="253"/>
      <c r="E7" s="253"/>
      <c r="F7" s="253"/>
      <c r="G7" s="253"/>
      <c r="H7" s="253"/>
      <c r="I7" s="253"/>
      <c r="J7" s="253"/>
    </row>
    <row r="8" spans="1:10" s="68" customFormat="1" ht="21" customHeight="1">
      <c r="A8" s="254">
        <f>додаток1!A8</f>
        <v>10508000000</v>
      </c>
      <c r="B8" s="254"/>
      <c r="C8" s="78"/>
      <c r="D8" s="78"/>
      <c r="E8" s="78"/>
      <c r="F8" s="78"/>
      <c r="G8" s="78"/>
      <c r="H8" s="78"/>
      <c r="I8" s="78"/>
      <c r="J8" s="78"/>
    </row>
    <row r="9" spans="1:10" s="68" customFormat="1" ht="18" customHeight="1">
      <c r="A9" s="255" t="s">
        <v>281</v>
      </c>
      <c r="B9" s="255"/>
      <c r="C9" s="79"/>
      <c r="D9" s="79"/>
      <c r="E9" s="79"/>
      <c r="F9" s="79"/>
      <c r="G9" s="79"/>
      <c r="H9" s="79"/>
      <c r="I9" s="79"/>
      <c r="J9" s="79"/>
    </row>
    <row r="10" spans="1:10" s="68" customFormat="1" ht="18" customHeight="1">
      <c r="A10" s="73"/>
      <c r="B10" s="80"/>
      <c r="C10" s="80"/>
      <c r="D10" s="81"/>
      <c r="E10" s="82"/>
      <c r="F10" s="77"/>
      <c r="G10" s="82"/>
      <c r="H10" s="83"/>
      <c r="J10" s="84" t="s">
        <v>282</v>
      </c>
    </row>
    <row r="11" spans="1:10" s="64" customFormat="1" ht="32.25" customHeight="1">
      <c r="A11" s="265" t="s">
        <v>395</v>
      </c>
      <c r="B11" s="267" t="s">
        <v>396</v>
      </c>
      <c r="C11" s="267" t="s">
        <v>397</v>
      </c>
      <c r="D11" s="269" t="s">
        <v>398</v>
      </c>
      <c r="E11" s="271" t="s">
        <v>62</v>
      </c>
      <c r="F11" s="269" t="s">
        <v>63</v>
      </c>
      <c r="G11" s="269" t="s">
        <v>285</v>
      </c>
      <c r="H11" s="269" t="s">
        <v>286</v>
      </c>
      <c r="I11" s="262" t="s">
        <v>287</v>
      </c>
      <c r="J11" s="263"/>
    </row>
    <row r="12" spans="1:10" s="64" customFormat="1" ht="86.25" customHeight="1">
      <c r="A12" s="266"/>
      <c r="B12" s="268"/>
      <c r="C12" s="268"/>
      <c r="D12" s="270"/>
      <c r="E12" s="272"/>
      <c r="F12" s="270"/>
      <c r="G12" s="270"/>
      <c r="H12" s="270"/>
      <c r="I12" s="85" t="s">
        <v>64</v>
      </c>
      <c r="J12" s="85" t="s">
        <v>59</v>
      </c>
    </row>
    <row r="13" spans="1:10" ht="24" customHeight="1">
      <c r="A13" s="85">
        <v>1</v>
      </c>
      <c r="B13" s="86" t="s">
        <v>60</v>
      </c>
      <c r="C13" s="86" t="s">
        <v>407</v>
      </c>
      <c r="D13" s="87">
        <v>4</v>
      </c>
      <c r="E13" s="88">
        <v>5</v>
      </c>
      <c r="F13" s="85">
        <v>6</v>
      </c>
      <c r="G13" s="85">
        <v>7</v>
      </c>
      <c r="H13" s="85">
        <v>8</v>
      </c>
      <c r="I13" s="85">
        <v>9</v>
      </c>
      <c r="J13" s="85">
        <v>10</v>
      </c>
    </row>
    <row r="14" spans="1:10" s="154" customFormat="1" ht="41.25" customHeight="1">
      <c r="A14" s="146" t="s">
        <v>408</v>
      </c>
      <c r="B14" s="149"/>
      <c r="C14" s="149"/>
      <c r="D14" s="150" t="s">
        <v>409</v>
      </c>
      <c r="E14" s="151"/>
      <c r="F14" s="152"/>
      <c r="G14" s="153">
        <f>H14+I14</f>
        <v>28348208</v>
      </c>
      <c r="H14" s="153">
        <f>H15</f>
        <v>26150198</v>
      </c>
      <c r="I14" s="153">
        <f>I15</f>
        <v>2198010</v>
      </c>
      <c r="J14" s="153">
        <f>J15</f>
        <v>2043010</v>
      </c>
    </row>
    <row r="15" spans="1:10" s="154" customFormat="1" ht="41.25" customHeight="1">
      <c r="A15" s="146" t="s">
        <v>410</v>
      </c>
      <c r="B15" s="149"/>
      <c r="C15" s="149"/>
      <c r="D15" s="150" t="s">
        <v>409</v>
      </c>
      <c r="E15" s="151"/>
      <c r="F15" s="152"/>
      <c r="G15" s="153">
        <f aca="true" t="shared" si="0" ref="G15:G70">H15+I15</f>
        <v>28348208</v>
      </c>
      <c r="H15" s="153">
        <f>H16+H23+H29+H34+H42+H53+H62</f>
        <v>26150198</v>
      </c>
      <c r="I15" s="153">
        <f>I16+I23+I29+I34+I42+I53+I62</f>
        <v>2198010</v>
      </c>
      <c r="J15" s="153">
        <f>J16+J23+J29+J34+J42+J53+J62</f>
        <v>2043010</v>
      </c>
    </row>
    <row r="16" spans="1:10" s="154" customFormat="1" ht="31.5" customHeight="1">
      <c r="A16" s="146"/>
      <c r="B16" s="146" t="s">
        <v>89</v>
      </c>
      <c r="C16" s="146"/>
      <c r="D16" s="147" t="s">
        <v>90</v>
      </c>
      <c r="E16" s="151"/>
      <c r="F16" s="152"/>
      <c r="G16" s="153">
        <f t="shared" si="0"/>
        <v>327365</v>
      </c>
      <c r="H16" s="153">
        <f>H17</f>
        <v>327365</v>
      </c>
      <c r="I16" s="153">
        <f>I17</f>
        <v>0</v>
      </c>
      <c r="J16" s="153">
        <f>J17</f>
        <v>0</v>
      </c>
    </row>
    <row r="17" spans="1:10" s="159" customFormat="1" ht="48.75" customHeight="1">
      <c r="A17" s="103" t="s">
        <v>415</v>
      </c>
      <c r="B17" s="155" t="s">
        <v>416</v>
      </c>
      <c r="C17" s="155" t="s">
        <v>417</v>
      </c>
      <c r="D17" s="156" t="s">
        <v>418</v>
      </c>
      <c r="E17" s="157"/>
      <c r="F17" s="158"/>
      <c r="G17" s="153">
        <f t="shared" si="0"/>
        <v>327365</v>
      </c>
      <c r="H17" s="153">
        <f>SUM(H18:H22)</f>
        <v>327365</v>
      </c>
      <c r="I17" s="153">
        <f>SUM(I18:I21)</f>
        <v>0</v>
      </c>
      <c r="J17" s="153">
        <f>SUM(J18:J21)</f>
        <v>0</v>
      </c>
    </row>
    <row r="18" spans="1:10" s="138" customFormat="1" ht="53.25" customHeight="1">
      <c r="A18" s="6"/>
      <c r="B18" s="160"/>
      <c r="C18" s="160"/>
      <c r="D18" s="161"/>
      <c r="E18" s="107" t="s">
        <v>65</v>
      </c>
      <c r="F18" s="98" t="s">
        <v>74</v>
      </c>
      <c r="G18" s="162">
        <f t="shared" si="0"/>
        <v>50000</v>
      </c>
      <c r="H18" s="162">
        <v>50000</v>
      </c>
      <c r="I18" s="163"/>
      <c r="J18" s="163"/>
    </row>
    <row r="19" spans="1:10" s="138" customFormat="1" ht="76.5" customHeight="1">
      <c r="A19" s="6"/>
      <c r="B19" s="160"/>
      <c r="C19" s="160"/>
      <c r="D19" s="161"/>
      <c r="E19" s="107" t="s">
        <v>66</v>
      </c>
      <c r="F19" s="98" t="s">
        <v>74</v>
      </c>
      <c r="G19" s="162">
        <f t="shared" si="0"/>
        <v>55665</v>
      </c>
      <c r="H19" s="162">
        <f>50000+5665</f>
        <v>55665</v>
      </c>
      <c r="I19" s="163"/>
      <c r="J19" s="163"/>
    </row>
    <row r="20" spans="1:10" s="138" customFormat="1" ht="56.25" customHeight="1">
      <c r="A20" s="6"/>
      <c r="B20" s="160"/>
      <c r="C20" s="160"/>
      <c r="D20" s="161"/>
      <c r="E20" s="123" t="s">
        <v>154</v>
      </c>
      <c r="F20" s="98" t="s">
        <v>74</v>
      </c>
      <c r="G20" s="162">
        <f t="shared" si="0"/>
        <v>50000</v>
      </c>
      <c r="H20" s="162">
        <v>50000</v>
      </c>
      <c r="I20" s="163"/>
      <c r="J20" s="163"/>
    </row>
    <row r="21" spans="1:10" s="138" customFormat="1" ht="57.75" customHeight="1">
      <c r="A21" s="6"/>
      <c r="B21" s="160"/>
      <c r="C21" s="160"/>
      <c r="D21" s="161"/>
      <c r="E21" s="107" t="s">
        <v>75</v>
      </c>
      <c r="F21" s="98" t="s">
        <v>74</v>
      </c>
      <c r="G21" s="162">
        <f t="shared" si="0"/>
        <v>171700</v>
      </c>
      <c r="H21" s="162">
        <v>171700</v>
      </c>
      <c r="I21" s="163"/>
      <c r="J21" s="163"/>
    </row>
    <row r="22" spans="1:10" s="138" customFormat="1" ht="65.25" customHeight="1" hidden="1">
      <c r="A22" s="6"/>
      <c r="B22" s="160"/>
      <c r="C22" s="160"/>
      <c r="D22" s="161"/>
      <c r="E22" s="123" t="s">
        <v>153</v>
      </c>
      <c r="F22" s="98" t="s">
        <v>155</v>
      </c>
      <c r="G22" s="162">
        <f t="shared" si="0"/>
        <v>0</v>
      </c>
      <c r="H22" s="162"/>
      <c r="I22" s="162"/>
      <c r="J22" s="163"/>
    </row>
    <row r="23" spans="1:10" s="159" customFormat="1" ht="30" customHeight="1">
      <c r="A23" s="103"/>
      <c r="B23" s="103" t="s">
        <v>91</v>
      </c>
      <c r="C23" s="103"/>
      <c r="D23" s="104" t="s">
        <v>93</v>
      </c>
      <c r="E23" s="164"/>
      <c r="F23" s="158"/>
      <c r="G23" s="153">
        <f t="shared" si="0"/>
        <v>1980038</v>
      </c>
      <c r="H23" s="153">
        <f>H24+H27</f>
        <v>1980038</v>
      </c>
      <c r="I23" s="153">
        <f>I24+I27</f>
        <v>0</v>
      </c>
      <c r="J23" s="153">
        <f>J24+J27</f>
        <v>0</v>
      </c>
    </row>
    <row r="24" spans="1:10" s="159" customFormat="1" ht="44.25" customHeight="1">
      <c r="A24" s="103" t="s">
        <v>94</v>
      </c>
      <c r="B24" s="103" t="s">
        <v>96</v>
      </c>
      <c r="C24" s="103" t="s">
        <v>427</v>
      </c>
      <c r="D24" s="104" t="s">
        <v>95</v>
      </c>
      <c r="E24" s="164"/>
      <c r="F24" s="158"/>
      <c r="G24" s="153">
        <f>H24+I24</f>
        <v>1980038</v>
      </c>
      <c r="H24" s="153">
        <f>SUM(H25:H26)</f>
        <v>1980038</v>
      </c>
      <c r="I24" s="153">
        <f>SUM(I25:I26)</f>
        <v>0</v>
      </c>
      <c r="J24" s="153">
        <f>SUM(J25:J26)</f>
        <v>0</v>
      </c>
    </row>
    <row r="25" spans="1:10" s="138" customFormat="1" ht="66.75" customHeight="1">
      <c r="A25" s="6"/>
      <c r="B25" s="160"/>
      <c r="C25" s="160"/>
      <c r="D25" s="165"/>
      <c r="E25" s="123" t="s">
        <v>188</v>
      </c>
      <c r="F25" s="98" t="s">
        <v>195</v>
      </c>
      <c r="G25" s="162">
        <f>H25+I25</f>
        <v>403438</v>
      </c>
      <c r="H25" s="162">
        <f>246000+25438+132000</f>
        <v>403438</v>
      </c>
      <c r="I25" s="162"/>
      <c r="J25" s="163"/>
    </row>
    <row r="26" spans="1:10" s="166" customFormat="1" ht="78" customHeight="1">
      <c r="A26" s="6"/>
      <c r="B26" s="160"/>
      <c r="C26" s="160"/>
      <c r="D26" s="165"/>
      <c r="E26" s="107" t="s">
        <v>186</v>
      </c>
      <c r="F26" s="98" t="s">
        <v>187</v>
      </c>
      <c r="G26" s="162">
        <f t="shared" si="0"/>
        <v>1576600</v>
      </c>
      <c r="H26" s="162">
        <f>1182100+344500+50000</f>
        <v>1576600</v>
      </c>
      <c r="I26" s="162"/>
      <c r="J26" s="163"/>
    </row>
    <row r="27" spans="1:10" s="159" customFormat="1" ht="47.25" customHeight="1" hidden="1">
      <c r="A27" s="103" t="s">
        <v>94</v>
      </c>
      <c r="B27" s="103" t="s">
        <v>96</v>
      </c>
      <c r="C27" s="103" t="s">
        <v>427</v>
      </c>
      <c r="D27" s="104" t="s">
        <v>95</v>
      </c>
      <c r="E27" s="164"/>
      <c r="F27" s="158"/>
      <c r="G27" s="153">
        <f t="shared" si="0"/>
        <v>0</v>
      </c>
      <c r="H27" s="153">
        <f>H28</f>
        <v>0</v>
      </c>
      <c r="I27" s="153">
        <f>I28</f>
        <v>0</v>
      </c>
      <c r="J27" s="153">
        <f>J28</f>
        <v>0</v>
      </c>
    </row>
    <row r="28" spans="1:10" s="166" customFormat="1" ht="76.5" customHeight="1" hidden="1">
      <c r="A28" s="6"/>
      <c r="B28" s="160"/>
      <c r="C28" s="160"/>
      <c r="D28" s="165"/>
      <c r="E28" s="123"/>
      <c r="F28" s="98"/>
      <c r="G28" s="162">
        <f t="shared" si="0"/>
        <v>0</v>
      </c>
      <c r="H28" s="162"/>
      <c r="I28" s="162"/>
      <c r="J28" s="163"/>
    </row>
    <row r="29" spans="1:10" s="159" customFormat="1" ht="54.75" customHeight="1">
      <c r="A29" s="103"/>
      <c r="B29" s="103" t="s">
        <v>97</v>
      </c>
      <c r="C29" s="103"/>
      <c r="D29" s="104" t="s">
        <v>98</v>
      </c>
      <c r="E29" s="164"/>
      <c r="F29" s="158"/>
      <c r="G29" s="153">
        <f t="shared" si="0"/>
        <v>98075</v>
      </c>
      <c r="H29" s="153">
        <f>H30+H32</f>
        <v>98075</v>
      </c>
      <c r="I29" s="153">
        <f>I30+I32</f>
        <v>0</v>
      </c>
      <c r="J29" s="153">
        <f>J30+J32</f>
        <v>0</v>
      </c>
    </row>
    <row r="30" spans="1:10" s="159" customFormat="1" ht="55.5" customHeight="1">
      <c r="A30" s="103" t="s">
        <v>204</v>
      </c>
      <c r="B30" s="103" t="s">
        <v>205</v>
      </c>
      <c r="C30" s="103" t="s">
        <v>430</v>
      </c>
      <c r="D30" s="104" t="s">
        <v>206</v>
      </c>
      <c r="E30" s="164"/>
      <c r="F30" s="158"/>
      <c r="G30" s="153">
        <f t="shared" si="0"/>
        <v>98075</v>
      </c>
      <c r="H30" s="153">
        <f>SUM(H31)</f>
        <v>98075</v>
      </c>
      <c r="I30" s="153">
        <f>SUM(I31)</f>
        <v>0</v>
      </c>
      <c r="J30" s="153">
        <f>SUM(J31)</f>
        <v>0</v>
      </c>
    </row>
    <row r="31" spans="1:10" s="166" customFormat="1" ht="61.5" customHeight="1">
      <c r="A31" s="103"/>
      <c r="B31" s="103"/>
      <c r="C31" s="103"/>
      <c r="D31" s="167"/>
      <c r="E31" s="123" t="s">
        <v>254</v>
      </c>
      <c r="F31" s="98" t="s">
        <v>257</v>
      </c>
      <c r="G31" s="162">
        <f t="shared" si="0"/>
        <v>98075</v>
      </c>
      <c r="H31" s="162">
        <f>50000+48075</f>
        <v>98075</v>
      </c>
      <c r="I31" s="162"/>
      <c r="J31" s="162"/>
    </row>
    <row r="32" spans="1:10" s="159" customFormat="1" ht="60.75" customHeight="1" hidden="1">
      <c r="A32" s="103" t="s">
        <v>433</v>
      </c>
      <c r="B32" s="155" t="s">
        <v>434</v>
      </c>
      <c r="C32" s="155" t="s">
        <v>432</v>
      </c>
      <c r="D32" s="167" t="s">
        <v>435</v>
      </c>
      <c r="E32" s="164"/>
      <c r="F32" s="158"/>
      <c r="G32" s="153">
        <f t="shared" si="0"/>
        <v>0</v>
      </c>
      <c r="H32" s="153">
        <f>SUM(H33:H33)</f>
        <v>0</v>
      </c>
      <c r="I32" s="153">
        <f>SUM(I33:I33)</f>
        <v>0</v>
      </c>
      <c r="J32" s="153">
        <f>SUM(J33:J33)</f>
        <v>0</v>
      </c>
    </row>
    <row r="33" spans="1:10" s="166" customFormat="1" ht="52.5" customHeight="1" hidden="1">
      <c r="A33" s="6"/>
      <c r="B33" s="160"/>
      <c r="C33" s="160"/>
      <c r="D33" s="165"/>
      <c r="E33" s="123" t="s">
        <v>67</v>
      </c>
      <c r="F33" s="98" t="s">
        <v>76</v>
      </c>
      <c r="G33" s="162">
        <f t="shared" si="0"/>
        <v>0</v>
      </c>
      <c r="H33" s="162">
        <f>50000-50000</f>
        <v>0</v>
      </c>
      <c r="I33" s="162"/>
      <c r="J33" s="163"/>
    </row>
    <row r="34" spans="1:10" s="159" customFormat="1" ht="35.25" customHeight="1">
      <c r="A34" s="103"/>
      <c r="B34" s="103" t="s">
        <v>106</v>
      </c>
      <c r="C34" s="103"/>
      <c r="D34" s="104" t="s">
        <v>107</v>
      </c>
      <c r="E34" s="157"/>
      <c r="F34" s="158"/>
      <c r="G34" s="153">
        <f t="shared" si="0"/>
        <v>21555180</v>
      </c>
      <c r="H34" s="153">
        <f>H35+H37+H40</f>
        <v>20511170</v>
      </c>
      <c r="I34" s="153">
        <f>I35+I37+I40</f>
        <v>1044010</v>
      </c>
      <c r="J34" s="153">
        <f>J35+J37+J40</f>
        <v>1044010</v>
      </c>
    </row>
    <row r="35" spans="1:10" s="159" customFormat="1" ht="50.25" customHeight="1">
      <c r="A35" s="103" t="s">
        <v>436</v>
      </c>
      <c r="B35" s="155" t="s">
        <v>437</v>
      </c>
      <c r="C35" s="155" t="s">
        <v>438</v>
      </c>
      <c r="D35" s="156" t="s">
        <v>439</v>
      </c>
      <c r="E35" s="104"/>
      <c r="F35" s="127"/>
      <c r="G35" s="153">
        <f t="shared" si="0"/>
        <v>3348240</v>
      </c>
      <c r="H35" s="153">
        <f>H36</f>
        <v>3299440</v>
      </c>
      <c r="I35" s="153">
        <f>I36</f>
        <v>48800</v>
      </c>
      <c r="J35" s="153">
        <f>J36</f>
        <v>48800</v>
      </c>
    </row>
    <row r="36" spans="1:10" s="138" customFormat="1" ht="59.25" customHeight="1">
      <c r="A36" s="6"/>
      <c r="B36" s="160"/>
      <c r="C36" s="160"/>
      <c r="D36" s="161"/>
      <c r="E36" s="107" t="s">
        <v>251</v>
      </c>
      <c r="F36" s="98" t="s">
        <v>258</v>
      </c>
      <c r="G36" s="162">
        <f t="shared" si="0"/>
        <v>3348240</v>
      </c>
      <c r="H36" s="162">
        <f>3000000+267300+32140</f>
        <v>3299440</v>
      </c>
      <c r="I36" s="163">
        <f>48800</f>
        <v>48800</v>
      </c>
      <c r="J36" s="163">
        <f>48800</f>
        <v>48800</v>
      </c>
    </row>
    <row r="37" spans="1:10" s="159" customFormat="1" ht="50.25" customHeight="1">
      <c r="A37" s="103" t="s">
        <v>440</v>
      </c>
      <c r="B37" s="155" t="s">
        <v>441</v>
      </c>
      <c r="C37" s="155" t="s">
        <v>438</v>
      </c>
      <c r="D37" s="156" t="s">
        <v>442</v>
      </c>
      <c r="E37" s="104"/>
      <c r="F37" s="127"/>
      <c r="G37" s="153">
        <f>SUM(G38:G39)</f>
        <v>18206940</v>
      </c>
      <c r="H37" s="153">
        <f>SUM(H38:H39)</f>
        <v>17211730</v>
      </c>
      <c r="I37" s="153">
        <f>SUM(I38:I39)</f>
        <v>995210</v>
      </c>
      <c r="J37" s="153">
        <f>SUM(J38:J39)</f>
        <v>995210</v>
      </c>
    </row>
    <row r="38" spans="1:10" s="159" customFormat="1" ht="50.25" customHeight="1">
      <c r="A38" s="103"/>
      <c r="B38" s="155"/>
      <c r="C38" s="155"/>
      <c r="D38" s="156"/>
      <c r="E38" s="107" t="s">
        <v>251</v>
      </c>
      <c r="F38" s="98" t="s">
        <v>258</v>
      </c>
      <c r="G38" s="162">
        <f>H38+I38</f>
        <v>18176940</v>
      </c>
      <c r="H38" s="162">
        <f>10070000+6200000+200000+636730+75000</f>
        <v>17181730</v>
      </c>
      <c r="I38" s="163">
        <f>675464+45210+274536</f>
        <v>995210</v>
      </c>
      <c r="J38" s="163">
        <f>720674+274536</f>
        <v>995210</v>
      </c>
    </row>
    <row r="39" spans="1:10" s="138" customFormat="1" ht="57" customHeight="1">
      <c r="A39" s="6"/>
      <c r="B39" s="160"/>
      <c r="C39" s="160"/>
      <c r="D39" s="161"/>
      <c r="E39" s="128" t="s">
        <v>275</v>
      </c>
      <c r="F39" s="98" t="s">
        <v>277</v>
      </c>
      <c r="G39" s="162">
        <f t="shared" si="0"/>
        <v>30000</v>
      </c>
      <c r="H39" s="162">
        <f>30000</f>
        <v>30000</v>
      </c>
      <c r="I39" s="163"/>
      <c r="J39" s="163"/>
    </row>
    <row r="40" spans="1:10" s="159" customFormat="1" ht="50.25" customHeight="1" hidden="1">
      <c r="A40" s="103" t="s">
        <v>443</v>
      </c>
      <c r="B40" s="155" t="s">
        <v>444</v>
      </c>
      <c r="C40" s="155" t="s">
        <v>445</v>
      </c>
      <c r="D40" s="156" t="s">
        <v>446</v>
      </c>
      <c r="E40" s="104"/>
      <c r="F40" s="127"/>
      <c r="G40" s="153">
        <f t="shared" si="0"/>
        <v>0</v>
      </c>
      <c r="H40" s="153">
        <f>H41</f>
        <v>0</v>
      </c>
      <c r="I40" s="153">
        <f>I41</f>
        <v>0</v>
      </c>
      <c r="J40" s="153">
        <f>J41</f>
        <v>0</v>
      </c>
    </row>
    <row r="41" spans="1:10" s="138" customFormat="1" ht="50.25" customHeight="1" hidden="1">
      <c r="A41" s="6"/>
      <c r="B41" s="160"/>
      <c r="C41" s="160"/>
      <c r="D41" s="161"/>
      <c r="E41" s="107" t="s">
        <v>77</v>
      </c>
      <c r="F41" s="98" t="s">
        <v>78</v>
      </c>
      <c r="G41" s="162">
        <f t="shared" si="0"/>
        <v>0</v>
      </c>
      <c r="H41" s="162"/>
      <c r="I41" s="163">
        <f>300000-300000</f>
        <v>0</v>
      </c>
      <c r="J41" s="163">
        <f>300000-300000</f>
        <v>0</v>
      </c>
    </row>
    <row r="42" spans="1:10" s="159" customFormat="1" ht="32.25" customHeight="1">
      <c r="A42" s="103"/>
      <c r="B42" s="103" t="s">
        <v>108</v>
      </c>
      <c r="C42" s="103"/>
      <c r="D42" s="148" t="s">
        <v>109</v>
      </c>
      <c r="E42" s="104"/>
      <c r="F42" s="127"/>
      <c r="G42" s="153">
        <f t="shared" si="0"/>
        <v>3163550</v>
      </c>
      <c r="H42" s="153">
        <f>H43+H45+H47+H49+H51</f>
        <v>2363550</v>
      </c>
      <c r="I42" s="153">
        <f>I43+I45+I47+I49+I51</f>
        <v>800000</v>
      </c>
      <c r="J42" s="153">
        <f>J43+J45+J47+J49+J51</f>
        <v>800000</v>
      </c>
    </row>
    <row r="43" spans="1:10" s="159" customFormat="1" ht="38.25" customHeight="1">
      <c r="A43" s="103" t="s">
        <v>447</v>
      </c>
      <c r="B43" s="103" t="s">
        <v>448</v>
      </c>
      <c r="C43" s="103" t="s">
        <v>449</v>
      </c>
      <c r="D43" s="148" t="s">
        <v>450</v>
      </c>
      <c r="E43" s="104"/>
      <c r="F43" s="127"/>
      <c r="G43" s="153">
        <f t="shared" si="0"/>
        <v>2012250</v>
      </c>
      <c r="H43" s="153">
        <f>H44</f>
        <v>1212250</v>
      </c>
      <c r="I43" s="153">
        <f>I44</f>
        <v>800000</v>
      </c>
      <c r="J43" s="153">
        <f>J44</f>
        <v>800000</v>
      </c>
    </row>
    <row r="44" spans="1:10" s="138" customFormat="1" ht="50.25" customHeight="1">
      <c r="A44" s="6"/>
      <c r="B44" s="160"/>
      <c r="C44" s="160"/>
      <c r="D44" s="161"/>
      <c r="E44" s="107" t="s">
        <v>79</v>
      </c>
      <c r="F44" s="98" t="s">
        <v>74</v>
      </c>
      <c r="G44" s="162">
        <f t="shared" si="0"/>
        <v>2012250</v>
      </c>
      <c r="H44" s="162">
        <f>1200000+14400-200000+197850</f>
        <v>1212250</v>
      </c>
      <c r="I44" s="163">
        <f>800000</f>
        <v>800000</v>
      </c>
      <c r="J44" s="163">
        <f>800000</f>
        <v>800000</v>
      </c>
    </row>
    <row r="45" spans="1:10" s="159" customFormat="1" ht="68.25" customHeight="1">
      <c r="A45" s="103" t="s">
        <v>451</v>
      </c>
      <c r="B45" s="155" t="s">
        <v>452</v>
      </c>
      <c r="C45" s="155" t="s">
        <v>453</v>
      </c>
      <c r="D45" s="156" t="s">
        <v>454</v>
      </c>
      <c r="E45" s="104"/>
      <c r="F45" s="127"/>
      <c r="G45" s="153">
        <f t="shared" si="0"/>
        <v>1091300</v>
      </c>
      <c r="H45" s="153">
        <f>H46</f>
        <v>1091300</v>
      </c>
      <c r="I45" s="153">
        <f>I46</f>
        <v>0</v>
      </c>
      <c r="J45" s="153">
        <f>J46</f>
        <v>0</v>
      </c>
    </row>
    <row r="46" spans="1:10" s="138" customFormat="1" ht="50.25" customHeight="1">
      <c r="A46" s="6"/>
      <c r="B46" s="160"/>
      <c r="C46" s="160"/>
      <c r="D46" s="161"/>
      <c r="E46" s="124" t="s">
        <v>250</v>
      </c>
      <c r="F46" s="98" t="s">
        <v>259</v>
      </c>
      <c r="G46" s="162">
        <f t="shared" si="0"/>
        <v>1091300</v>
      </c>
      <c r="H46" s="162">
        <f>1000000+91300</f>
        <v>1091300</v>
      </c>
      <c r="I46" s="163"/>
      <c r="J46" s="163"/>
    </row>
    <row r="47" spans="1:10" s="159" customFormat="1" ht="50.25" customHeight="1" hidden="1">
      <c r="A47" s="103" t="s">
        <v>455</v>
      </c>
      <c r="B47" s="103" t="s">
        <v>456</v>
      </c>
      <c r="C47" s="103" t="s">
        <v>453</v>
      </c>
      <c r="D47" s="104" t="s">
        <v>457</v>
      </c>
      <c r="E47" s="104"/>
      <c r="F47" s="127"/>
      <c r="G47" s="153">
        <f t="shared" si="0"/>
        <v>0</v>
      </c>
      <c r="H47" s="153">
        <f>H48</f>
        <v>0</v>
      </c>
      <c r="I47" s="153">
        <f>I48</f>
        <v>0</v>
      </c>
      <c r="J47" s="153">
        <f>J48</f>
        <v>0</v>
      </c>
    </row>
    <row r="48" spans="1:10" s="138" customFormat="1" ht="50.25" customHeight="1" hidden="1">
      <c r="A48" s="6"/>
      <c r="B48" s="160"/>
      <c r="C48" s="160"/>
      <c r="D48" s="161"/>
      <c r="E48" s="38" t="s">
        <v>81</v>
      </c>
      <c r="F48" s="168" t="s">
        <v>74</v>
      </c>
      <c r="G48" s="162">
        <f t="shared" si="0"/>
        <v>0</v>
      </c>
      <c r="H48" s="162">
        <f>30000-30000</f>
        <v>0</v>
      </c>
      <c r="I48" s="163"/>
      <c r="J48" s="163"/>
    </row>
    <row r="49" spans="1:10" s="159" customFormat="1" ht="50.25" customHeight="1">
      <c r="A49" s="103" t="s">
        <v>458</v>
      </c>
      <c r="B49" s="155" t="s">
        <v>459</v>
      </c>
      <c r="C49" s="155" t="s">
        <v>460</v>
      </c>
      <c r="D49" s="156" t="s">
        <v>461</v>
      </c>
      <c r="E49" s="104"/>
      <c r="F49" s="127"/>
      <c r="G49" s="153">
        <f t="shared" si="0"/>
        <v>60000</v>
      </c>
      <c r="H49" s="153">
        <f>H50</f>
        <v>60000</v>
      </c>
      <c r="I49" s="153">
        <f>I50</f>
        <v>0</v>
      </c>
      <c r="J49" s="153">
        <f>J50</f>
        <v>0</v>
      </c>
    </row>
    <row r="50" spans="1:10" s="138" customFormat="1" ht="65.25" customHeight="1">
      <c r="A50" s="6"/>
      <c r="B50" s="160"/>
      <c r="C50" s="160"/>
      <c r="D50" s="161"/>
      <c r="E50" s="125" t="s">
        <v>247</v>
      </c>
      <c r="F50" s="98" t="s">
        <v>260</v>
      </c>
      <c r="G50" s="162">
        <f t="shared" si="0"/>
        <v>60000</v>
      </c>
      <c r="H50" s="162">
        <v>60000</v>
      </c>
      <c r="I50" s="163"/>
      <c r="J50" s="163"/>
    </row>
    <row r="51" spans="1:10" s="159" customFormat="1" ht="50.25" customHeight="1" hidden="1">
      <c r="A51" s="103" t="s">
        <v>462</v>
      </c>
      <c r="B51" s="103" t="s">
        <v>463</v>
      </c>
      <c r="C51" s="103" t="s">
        <v>460</v>
      </c>
      <c r="D51" s="104" t="s">
        <v>464</v>
      </c>
      <c r="E51" s="169"/>
      <c r="F51" s="158"/>
      <c r="G51" s="153">
        <f t="shared" si="0"/>
        <v>0</v>
      </c>
      <c r="H51" s="153">
        <f>H52</f>
        <v>0</v>
      </c>
      <c r="I51" s="153">
        <f>I52</f>
        <v>0</v>
      </c>
      <c r="J51" s="153">
        <f>J52</f>
        <v>0</v>
      </c>
    </row>
    <row r="52" spans="1:10" s="138" customFormat="1" ht="64.5" customHeight="1" hidden="1">
      <c r="A52" s="6"/>
      <c r="B52" s="6"/>
      <c r="C52" s="6"/>
      <c r="D52" s="161"/>
      <c r="E52" s="125" t="s">
        <v>142</v>
      </c>
      <c r="F52" s="168" t="s">
        <v>74</v>
      </c>
      <c r="G52" s="162">
        <f t="shared" si="0"/>
        <v>0</v>
      </c>
      <c r="H52" s="162"/>
      <c r="I52" s="163"/>
      <c r="J52" s="163"/>
    </row>
    <row r="53" spans="1:10" s="159" customFormat="1" ht="39.75" customHeight="1">
      <c r="A53" s="103"/>
      <c r="B53" s="103" t="s">
        <v>116</v>
      </c>
      <c r="C53" s="103"/>
      <c r="D53" s="104" t="s">
        <v>117</v>
      </c>
      <c r="E53" s="169"/>
      <c r="F53" s="158"/>
      <c r="G53" s="153">
        <f t="shared" si="0"/>
        <v>1104000</v>
      </c>
      <c r="H53" s="153">
        <f>H54+H58+H60+H56</f>
        <v>750000</v>
      </c>
      <c r="I53" s="153">
        <f>I54+I58+I60+I56</f>
        <v>354000</v>
      </c>
      <c r="J53" s="153">
        <f>J54+J58+J60+J56</f>
        <v>199000</v>
      </c>
    </row>
    <row r="54" spans="1:10" s="159" customFormat="1" ht="66" customHeight="1">
      <c r="A54" s="103" t="s">
        <v>226</v>
      </c>
      <c r="B54" s="103" t="s">
        <v>224</v>
      </c>
      <c r="C54" s="103" t="s">
        <v>118</v>
      </c>
      <c r="D54" s="104" t="s">
        <v>225</v>
      </c>
      <c r="E54" s="169"/>
      <c r="F54" s="158"/>
      <c r="G54" s="153">
        <f t="shared" si="0"/>
        <v>200000</v>
      </c>
      <c r="H54" s="153">
        <f>H55</f>
        <v>200000</v>
      </c>
      <c r="I54" s="153">
        <f>I55</f>
        <v>0</v>
      </c>
      <c r="J54" s="153">
        <f>J55</f>
        <v>0</v>
      </c>
    </row>
    <row r="55" spans="1:10" s="138" customFormat="1" ht="58.5" customHeight="1">
      <c r="A55" s="103"/>
      <c r="B55" s="103"/>
      <c r="C55" s="103"/>
      <c r="D55" s="156"/>
      <c r="E55" s="125" t="s">
        <v>191</v>
      </c>
      <c r="F55" s="98" t="s">
        <v>193</v>
      </c>
      <c r="G55" s="162">
        <f t="shared" si="0"/>
        <v>200000</v>
      </c>
      <c r="H55" s="162">
        <v>200000</v>
      </c>
      <c r="I55" s="163"/>
      <c r="J55" s="163"/>
    </row>
    <row r="56" spans="1:10" s="159" customFormat="1" ht="39.75" customHeight="1">
      <c r="A56" s="103" t="s">
        <v>270</v>
      </c>
      <c r="B56" s="103" t="s">
        <v>271</v>
      </c>
      <c r="C56" s="103" t="s">
        <v>465</v>
      </c>
      <c r="D56" s="104" t="s">
        <v>272</v>
      </c>
      <c r="E56" s="169"/>
      <c r="F56" s="158"/>
      <c r="G56" s="153">
        <f>H56+I56</f>
        <v>249000</v>
      </c>
      <c r="H56" s="153">
        <f>SUM(H57:H57)</f>
        <v>50000</v>
      </c>
      <c r="I56" s="153">
        <f>SUM(I57:I57)</f>
        <v>199000</v>
      </c>
      <c r="J56" s="153">
        <f>SUM(J57:J57)</f>
        <v>199000</v>
      </c>
    </row>
    <row r="57" spans="1:10" s="138" customFormat="1" ht="57.75" customHeight="1">
      <c r="A57" s="103"/>
      <c r="B57" s="103"/>
      <c r="C57" s="103"/>
      <c r="D57" s="156"/>
      <c r="E57" s="125" t="s">
        <v>273</v>
      </c>
      <c r="F57" s="98" t="s">
        <v>274</v>
      </c>
      <c r="G57" s="162">
        <f>H57+I57</f>
        <v>249000</v>
      </c>
      <c r="H57" s="162">
        <v>50000</v>
      </c>
      <c r="I57" s="162">
        <v>199000</v>
      </c>
      <c r="J57" s="162">
        <v>199000</v>
      </c>
    </row>
    <row r="58" spans="1:10" s="159" customFormat="1" ht="39.75" customHeight="1">
      <c r="A58" s="103" t="s">
        <v>208</v>
      </c>
      <c r="B58" s="103" t="s">
        <v>209</v>
      </c>
      <c r="C58" s="103" t="s">
        <v>465</v>
      </c>
      <c r="D58" s="104" t="s">
        <v>210</v>
      </c>
      <c r="E58" s="169"/>
      <c r="F58" s="158"/>
      <c r="G58" s="153">
        <f t="shared" si="0"/>
        <v>500000</v>
      </c>
      <c r="H58" s="153">
        <f>SUM(H59:H59)</f>
        <v>500000</v>
      </c>
      <c r="I58" s="153">
        <f>SUM(I59:I59)</f>
        <v>0</v>
      </c>
      <c r="J58" s="153">
        <f>SUM(J59:J59)</f>
        <v>0</v>
      </c>
    </row>
    <row r="59" spans="1:10" s="138" customFormat="1" ht="57.75" customHeight="1">
      <c r="A59" s="103"/>
      <c r="B59" s="103"/>
      <c r="C59" s="103"/>
      <c r="D59" s="156"/>
      <c r="E59" s="125" t="s">
        <v>241</v>
      </c>
      <c r="F59" s="98" t="s">
        <v>228</v>
      </c>
      <c r="G59" s="162">
        <f t="shared" si="0"/>
        <v>500000</v>
      </c>
      <c r="H59" s="162">
        <v>500000</v>
      </c>
      <c r="I59" s="162"/>
      <c r="J59" s="162"/>
    </row>
    <row r="60" spans="1:10" s="159" customFormat="1" ht="53.25" customHeight="1">
      <c r="A60" s="103" t="s">
        <v>466</v>
      </c>
      <c r="B60" s="155" t="s">
        <v>467</v>
      </c>
      <c r="C60" s="155" t="s">
        <v>468</v>
      </c>
      <c r="D60" s="156" t="s">
        <v>469</v>
      </c>
      <c r="E60" s="169"/>
      <c r="F60" s="158"/>
      <c r="G60" s="153">
        <f t="shared" si="0"/>
        <v>155000</v>
      </c>
      <c r="H60" s="153">
        <f>H61</f>
        <v>0</v>
      </c>
      <c r="I60" s="153">
        <f>I61</f>
        <v>155000</v>
      </c>
      <c r="J60" s="153">
        <f>J61</f>
        <v>0</v>
      </c>
    </row>
    <row r="61" spans="1:10" s="138" customFormat="1" ht="64.5" customHeight="1">
      <c r="A61" s="6"/>
      <c r="B61" s="160"/>
      <c r="C61" s="160"/>
      <c r="D61" s="161"/>
      <c r="E61" s="125" t="s">
        <v>80</v>
      </c>
      <c r="F61" s="98" t="s">
        <v>74</v>
      </c>
      <c r="G61" s="162">
        <f t="shared" si="0"/>
        <v>155000</v>
      </c>
      <c r="H61" s="162"/>
      <c r="I61" s="162">
        <f>145000+10000</f>
        <v>155000</v>
      </c>
      <c r="J61" s="162"/>
    </row>
    <row r="62" spans="1:10" s="138" customFormat="1" ht="45" customHeight="1">
      <c r="A62" s="103"/>
      <c r="B62" s="103" t="s">
        <v>137</v>
      </c>
      <c r="C62" s="103"/>
      <c r="D62" s="148" t="s">
        <v>138</v>
      </c>
      <c r="E62" s="104"/>
      <c r="F62" s="127"/>
      <c r="G62" s="153">
        <f>G63</f>
        <v>120000</v>
      </c>
      <c r="H62" s="153">
        <f>H63</f>
        <v>120000</v>
      </c>
      <c r="I62" s="153">
        <f>I63</f>
        <v>0</v>
      </c>
      <c r="J62" s="153">
        <f>J63+J67+J69+J71+J74+J89</f>
        <v>0</v>
      </c>
    </row>
    <row r="63" spans="1:10" s="138" customFormat="1" ht="72" customHeight="1">
      <c r="A63" s="103" t="s">
        <v>163</v>
      </c>
      <c r="B63" s="103" t="s">
        <v>164</v>
      </c>
      <c r="C63" s="103" t="s">
        <v>416</v>
      </c>
      <c r="D63" s="148" t="s">
        <v>165</v>
      </c>
      <c r="E63" s="104"/>
      <c r="F63" s="127"/>
      <c r="G63" s="153">
        <f>H63+I63</f>
        <v>120000</v>
      </c>
      <c r="H63" s="153">
        <f>SUM(H64:H66)</f>
        <v>120000</v>
      </c>
      <c r="I63" s="153">
        <f>SUM(I64:I66)</f>
        <v>0</v>
      </c>
      <c r="J63" s="153">
        <f>SUM(J64:J66)</f>
        <v>0</v>
      </c>
    </row>
    <row r="64" spans="1:10" s="138" customFormat="1" ht="59.25" customHeight="1">
      <c r="A64" s="170"/>
      <c r="B64" s="170"/>
      <c r="C64" s="170"/>
      <c r="D64" s="171"/>
      <c r="E64" s="172" t="s">
        <v>246</v>
      </c>
      <c r="F64" s="173" t="s">
        <v>255</v>
      </c>
      <c r="G64" s="162">
        <f>H64+I64</f>
        <v>60000</v>
      </c>
      <c r="H64" s="162">
        <v>60000</v>
      </c>
      <c r="I64" s="162"/>
      <c r="J64" s="162"/>
    </row>
    <row r="65" spans="1:10" s="138" customFormat="1" ht="64.5" customHeight="1">
      <c r="A65" s="170"/>
      <c r="B65" s="174"/>
      <c r="C65" s="174"/>
      <c r="D65" s="175"/>
      <c r="E65" s="172" t="s">
        <v>229</v>
      </c>
      <c r="F65" s="173" t="s">
        <v>230</v>
      </c>
      <c r="G65" s="162">
        <f>H65+I65</f>
        <v>60000</v>
      </c>
      <c r="H65" s="162">
        <v>60000</v>
      </c>
      <c r="I65" s="163"/>
      <c r="J65" s="163"/>
    </row>
    <row r="66" spans="1:10" s="138" customFormat="1" ht="64.5" customHeight="1" hidden="1">
      <c r="A66" s="170"/>
      <c r="B66" s="174"/>
      <c r="C66" s="174"/>
      <c r="D66" s="175"/>
      <c r="E66" s="172"/>
      <c r="F66" s="173"/>
      <c r="G66" s="162">
        <f>H66+I66</f>
        <v>0</v>
      </c>
      <c r="H66" s="162"/>
      <c r="I66" s="163"/>
      <c r="J66" s="163"/>
    </row>
    <row r="67" spans="1:10" s="154" customFormat="1" ht="36.75" customHeight="1">
      <c r="A67" s="146" t="s">
        <v>470</v>
      </c>
      <c r="B67" s="176"/>
      <c r="C67" s="176"/>
      <c r="D67" s="177" t="s">
        <v>119</v>
      </c>
      <c r="E67" s="178"/>
      <c r="F67" s="179"/>
      <c r="G67" s="153">
        <f t="shared" si="0"/>
        <v>417006</v>
      </c>
      <c r="H67" s="153">
        <f aca="true" t="shared" si="1" ref="H67:J69">H68</f>
        <v>417006</v>
      </c>
      <c r="I67" s="153">
        <f t="shared" si="1"/>
        <v>0</v>
      </c>
      <c r="J67" s="153">
        <f t="shared" si="1"/>
        <v>0</v>
      </c>
    </row>
    <row r="68" spans="1:10" s="154" customFormat="1" ht="36.75" customHeight="1">
      <c r="A68" s="146" t="s">
        <v>471</v>
      </c>
      <c r="B68" s="176"/>
      <c r="C68" s="176"/>
      <c r="D68" s="177" t="s">
        <v>119</v>
      </c>
      <c r="E68" s="178"/>
      <c r="F68" s="179"/>
      <c r="G68" s="153">
        <f t="shared" si="0"/>
        <v>417006</v>
      </c>
      <c r="H68" s="153">
        <f t="shared" si="1"/>
        <v>417006</v>
      </c>
      <c r="I68" s="153">
        <f t="shared" si="1"/>
        <v>0</v>
      </c>
      <c r="J68" s="153">
        <f t="shared" si="1"/>
        <v>0</v>
      </c>
    </row>
    <row r="69" spans="1:10" s="154" customFormat="1" ht="36.75" customHeight="1">
      <c r="A69" s="103"/>
      <c r="B69" s="103" t="s">
        <v>120</v>
      </c>
      <c r="C69" s="103"/>
      <c r="D69" s="104" t="s">
        <v>121</v>
      </c>
      <c r="E69" s="178"/>
      <c r="F69" s="179"/>
      <c r="G69" s="153">
        <f t="shared" si="0"/>
        <v>417006</v>
      </c>
      <c r="H69" s="153">
        <f t="shared" si="1"/>
        <v>417006</v>
      </c>
      <c r="I69" s="153">
        <f t="shared" si="1"/>
        <v>0</v>
      </c>
      <c r="J69" s="153">
        <f t="shared" si="1"/>
        <v>0</v>
      </c>
    </row>
    <row r="70" spans="1:10" s="159" customFormat="1" ht="42.75" customHeight="1">
      <c r="A70" s="103" t="s">
        <v>68</v>
      </c>
      <c r="B70" s="155" t="s">
        <v>491</v>
      </c>
      <c r="C70" s="155" t="s">
        <v>488</v>
      </c>
      <c r="D70" s="156" t="s">
        <v>69</v>
      </c>
      <c r="E70" s="180"/>
      <c r="F70" s="158"/>
      <c r="G70" s="153">
        <f t="shared" si="0"/>
        <v>417006</v>
      </c>
      <c r="H70" s="153">
        <f>SUM(H71:H74)</f>
        <v>417006</v>
      </c>
      <c r="I70" s="153">
        <f>SUM(I71:I74)</f>
        <v>0</v>
      </c>
      <c r="J70" s="153">
        <f>SUM(J71:J74)</f>
        <v>0</v>
      </c>
    </row>
    <row r="71" spans="1:10" s="138" customFormat="1" ht="60" customHeight="1">
      <c r="A71" s="6"/>
      <c r="B71" s="160"/>
      <c r="C71" s="160"/>
      <c r="D71" s="161"/>
      <c r="E71" s="126" t="s">
        <v>156</v>
      </c>
      <c r="F71" s="98" t="s">
        <v>74</v>
      </c>
      <c r="G71" s="162">
        <f aca="true" t="shared" si="2" ref="G71:G104">H71+I71</f>
        <v>109100</v>
      </c>
      <c r="H71" s="162">
        <v>109100</v>
      </c>
      <c r="I71" s="163"/>
      <c r="J71" s="163"/>
    </row>
    <row r="72" spans="1:10" s="138" customFormat="1" ht="72.75" customHeight="1">
      <c r="A72" s="6"/>
      <c r="B72" s="160"/>
      <c r="C72" s="160"/>
      <c r="D72" s="161"/>
      <c r="E72" s="107" t="s">
        <v>196</v>
      </c>
      <c r="F72" s="98" t="s">
        <v>197</v>
      </c>
      <c r="G72" s="162">
        <f t="shared" si="2"/>
        <v>18100</v>
      </c>
      <c r="H72" s="162">
        <v>18100</v>
      </c>
      <c r="I72" s="163"/>
      <c r="J72" s="163"/>
    </row>
    <row r="73" spans="1:10" s="138" customFormat="1" ht="67.5" customHeight="1">
      <c r="A73" s="6"/>
      <c r="B73" s="160"/>
      <c r="C73" s="160"/>
      <c r="D73" s="161"/>
      <c r="E73" s="107" t="s">
        <v>278</v>
      </c>
      <c r="F73" s="98" t="s">
        <v>279</v>
      </c>
      <c r="G73" s="162">
        <f t="shared" si="2"/>
        <v>139806</v>
      </c>
      <c r="H73" s="162">
        <f>139806</f>
        <v>139806</v>
      </c>
      <c r="I73" s="163"/>
      <c r="J73" s="163"/>
    </row>
    <row r="74" spans="1:10" s="166" customFormat="1" ht="57" customHeight="1">
      <c r="A74" s="6"/>
      <c r="B74" s="160"/>
      <c r="C74" s="160"/>
      <c r="D74" s="161"/>
      <c r="E74" s="107" t="s">
        <v>199</v>
      </c>
      <c r="F74" s="98" t="s">
        <v>74</v>
      </c>
      <c r="G74" s="162">
        <f t="shared" si="2"/>
        <v>150000</v>
      </c>
      <c r="H74" s="162">
        <v>150000</v>
      </c>
      <c r="I74" s="163"/>
      <c r="J74" s="163"/>
    </row>
    <row r="75" spans="1:10" s="154" customFormat="1" ht="42" customHeight="1">
      <c r="A75" s="146" t="s">
        <v>212</v>
      </c>
      <c r="B75" s="176"/>
      <c r="C75" s="176"/>
      <c r="D75" s="177" t="s">
        <v>213</v>
      </c>
      <c r="E75" s="178"/>
      <c r="F75" s="179"/>
      <c r="G75" s="153">
        <f t="shared" si="2"/>
        <v>2676500</v>
      </c>
      <c r="H75" s="153">
        <f aca="true" t="shared" si="3" ref="H75:J76">H76</f>
        <v>2676500</v>
      </c>
      <c r="I75" s="153">
        <f t="shared" si="3"/>
        <v>0</v>
      </c>
      <c r="J75" s="153">
        <f t="shared" si="3"/>
        <v>0</v>
      </c>
    </row>
    <row r="76" spans="1:10" s="154" customFormat="1" ht="39.75" customHeight="1">
      <c r="A76" s="146" t="s">
        <v>214</v>
      </c>
      <c r="B76" s="176"/>
      <c r="C76" s="176"/>
      <c r="D76" s="177" t="str">
        <f>D75</f>
        <v>Управління соціального захисту населення Тетіївської міської ради</v>
      </c>
      <c r="E76" s="178"/>
      <c r="F76" s="179"/>
      <c r="G76" s="153">
        <f t="shared" si="2"/>
        <v>2676500</v>
      </c>
      <c r="H76" s="153">
        <f t="shared" si="3"/>
        <v>2676500</v>
      </c>
      <c r="I76" s="153">
        <f t="shared" si="3"/>
        <v>0</v>
      </c>
      <c r="J76" s="153">
        <f t="shared" si="3"/>
        <v>0</v>
      </c>
    </row>
    <row r="77" spans="1:10" s="159" customFormat="1" ht="54.75" customHeight="1">
      <c r="A77" s="103"/>
      <c r="B77" s="103" t="s">
        <v>97</v>
      </c>
      <c r="C77" s="103"/>
      <c r="D77" s="104" t="s">
        <v>98</v>
      </c>
      <c r="E77" s="164"/>
      <c r="F77" s="158"/>
      <c r="G77" s="153">
        <f t="shared" si="2"/>
        <v>2676500</v>
      </c>
      <c r="H77" s="153">
        <f>H78+H82+H84+H80</f>
        <v>2676500</v>
      </c>
      <c r="I77" s="153">
        <f>I78+I82+I84+I80</f>
        <v>0</v>
      </c>
      <c r="J77" s="153">
        <f>J78+J82+J84+J80</f>
        <v>0</v>
      </c>
    </row>
    <row r="78" spans="1:10" s="159" customFormat="1" ht="62.25" customHeight="1">
      <c r="A78" s="103" t="s">
        <v>216</v>
      </c>
      <c r="B78" s="103" t="s">
        <v>99</v>
      </c>
      <c r="C78" s="103" t="s">
        <v>428</v>
      </c>
      <c r="D78" s="148" t="s">
        <v>100</v>
      </c>
      <c r="E78" s="164"/>
      <c r="F78" s="158"/>
      <c r="G78" s="153">
        <f t="shared" si="2"/>
        <v>3500</v>
      </c>
      <c r="H78" s="153">
        <f>H79</f>
        <v>3500</v>
      </c>
      <c r="I78" s="153">
        <f>I79</f>
        <v>0</v>
      </c>
      <c r="J78" s="153">
        <f>J79</f>
        <v>0</v>
      </c>
    </row>
    <row r="79" spans="1:10" s="166" customFormat="1" ht="67.5" customHeight="1">
      <c r="A79" s="103"/>
      <c r="B79" s="103"/>
      <c r="C79" s="103"/>
      <c r="D79" s="167"/>
      <c r="E79" s="123" t="s">
        <v>253</v>
      </c>
      <c r="F79" s="98" t="s">
        <v>261</v>
      </c>
      <c r="G79" s="162">
        <f t="shared" si="2"/>
        <v>3500</v>
      </c>
      <c r="H79" s="162">
        <v>3500</v>
      </c>
      <c r="I79" s="162"/>
      <c r="J79" s="162"/>
    </row>
    <row r="80" spans="1:10" s="166" customFormat="1" ht="57.75" customHeight="1" hidden="1">
      <c r="A80" s="103" t="s">
        <v>242</v>
      </c>
      <c r="B80" s="103" t="s">
        <v>243</v>
      </c>
      <c r="C80" s="103" t="s">
        <v>244</v>
      </c>
      <c r="D80" s="148" t="s">
        <v>245</v>
      </c>
      <c r="E80" s="164"/>
      <c r="F80" s="158"/>
      <c r="G80" s="153">
        <f>H80+I80</f>
        <v>0</v>
      </c>
      <c r="H80" s="153">
        <f>H81</f>
        <v>0</v>
      </c>
      <c r="I80" s="153">
        <f>I81</f>
        <v>0</v>
      </c>
      <c r="J80" s="153">
        <f>J81</f>
        <v>0</v>
      </c>
    </row>
    <row r="81" spans="1:10" s="166" customFormat="1" ht="87.75" customHeight="1" hidden="1">
      <c r="A81" s="103"/>
      <c r="B81" s="103"/>
      <c r="C81" s="103"/>
      <c r="D81" s="167"/>
      <c r="E81" s="107" t="s">
        <v>252</v>
      </c>
      <c r="F81" s="98" t="s">
        <v>262</v>
      </c>
      <c r="G81" s="162">
        <f>H81+I81</f>
        <v>0</v>
      </c>
      <c r="H81" s="162">
        <f>300000-300000</f>
        <v>0</v>
      </c>
      <c r="I81" s="162"/>
      <c r="J81" s="162"/>
    </row>
    <row r="82" spans="1:10" s="159" customFormat="1" ht="130.5" customHeight="1">
      <c r="A82" s="103" t="s">
        <v>218</v>
      </c>
      <c r="B82" s="103" t="s">
        <v>104</v>
      </c>
      <c r="C82" s="103" t="s">
        <v>475</v>
      </c>
      <c r="D82" s="104" t="s">
        <v>105</v>
      </c>
      <c r="E82" s="164"/>
      <c r="F82" s="158"/>
      <c r="G82" s="153">
        <f t="shared" si="2"/>
        <v>715000</v>
      </c>
      <c r="H82" s="153">
        <f>H83</f>
        <v>715000</v>
      </c>
      <c r="I82" s="153">
        <f>I83</f>
        <v>0</v>
      </c>
      <c r="J82" s="153">
        <f>J83</f>
        <v>0</v>
      </c>
    </row>
    <row r="83" spans="1:10" s="166" customFormat="1" ht="64.5" customHeight="1">
      <c r="A83" s="103"/>
      <c r="B83" s="103"/>
      <c r="C83" s="103"/>
      <c r="D83" s="167"/>
      <c r="E83" s="123" t="s">
        <v>141</v>
      </c>
      <c r="F83" s="98" t="s">
        <v>143</v>
      </c>
      <c r="G83" s="162">
        <f t="shared" si="2"/>
        <v>715000</v>
      </c>
      <c r="H83" s="162">
        <v>715000</v>
      </c>
      <c r="I83" s="162"/>
      <c r="J83" s="162"/>
    </row>
    <row r="84" spans="1:10" s="159" customFormat="1" ht="60.75" customHeight="1">
      <c r="A84" s="103" t="s">
        <v>219</v>
      </c>
      <c r="B84" s="155" t="s">
        <v>434</v>
      </c>
      <c r="C84" s="155" t="s">
        <v>432</v>
      </c>
      <c r="D84" s="167" t="s">
        <v>435</v>
      </c>
      <c r="E84" s="164"/>
      <c r="F84" s="158"/>
      <c r="G84" s="153">
        <f t="shared" si="2"/>
        <v>1958000</v>
      </c>
      <c r="H84" s="153">
        <f>SUM(H85:H87)</f>
        <v>1958000</v>
      </c>
      <c r="I84" s="153">
        <f>SUM(I85:I87)</f>
        <v>0</v>
      </c>
      <c r="J84" s="153">
        <f>SUM(J85:J87)</f>
        <v>0</v>
      </c>
    </row>
    <row r="85" spans="1:10" s="138" customFormat="1" ht="52.5" customHeight="1">
      <c r="A85" s="6"/>
      <c r="B85" s="160"/>
      <c r="C85" s="160"/>
      <c r="D85" s="38"/>
      <c r="E85" s="107" t="s">
        <v>207</v>
      </c>
      <c r="F85" s="98" t="s">
        <v>74</v>
      </c>
      <c r="G85" s="162">
        <f t="shared" si="2"/>
        <v>748000</v>
      </c>
      <c r="H85" s="162">
        <f>638000+110000</f>
        <v>748000</v>
      </c>
      <c r="I85" s="163"/>
      <c r="J85" s="163"/>
    </row>
    <row r="86" spans="1:10" s="138" customFormat="1" ht="60.75" customHeight="1">
      <c r="A86" s="6"/>
      <c r="B86" s="160"/>
      <c r="C86" s="160"/>
      <c r="D86" s="161"/>
      <c r="E86" s="107" t="s">
        <v>92</v>
      </c>
      <c r="F86" s="98" t="s">
        <v>192</v>
      </c>
      <c r="G86" s="162">
        <f>H86+I86</f>
        <v>510000</v>
      </c>
      <c r="H86" s="162">
        <f>370000+140000</f>
        <v>510000</v>
      </c>
      <c r="I86" s="163"/>
      <c r="J86" s="163"/>
    </row>
    <row r="87" spans="1:10" s="138" customFormat="1" ht="85.5" customHeight="1">
      <c r="A87" s="6"/>
      <c r="B87" s="160"/>
      <c r="C87" s="160"/>
      <c r="D87" s="161"/>
      <c r="E87" s="107" t="s">
        <v>252</v>
      </c>
      <c r="F87" s="98" t="s">
        <v>262</v>
      </c>
      <c r="G87" s="162">
        <f t="shared" si="2"/>
        <v>700000</v>
      </c>
      <c r="H87" s="162">
        <f>300000+400000</f>
        <v>700000</v>
      </c>
      <c r="I87" s="163"/>
      <c r="J87" s="163"/>
    </row>
    <row r="88" spans="1:10" s="154" customFormat="1" ht="47.25" customHeight="1">
      <c r="A88" s="146" t="s">
        <v>16</v>
      </c>
      <c r="B88" s="176"/>
      <c r="C88" s="176"/>
      <c r="D88" s="177" t="s">
        <v>132</v>
      </c>
      <c r="E88" s="178"/>
      <c r="F88" s="179"/>
      <c r="G88" s="153">
        <f t="shared" si="2"/>
        <v>1304476</v>
      </c>
      <c r="H88" s="153">
        <f>H89</f>
        <v>1304476</v>
      </c>
      <c r="I88" s="153">
        <f>I89</f>
        <v>0</v>
      </c>
      <c r="J88" s="153">
        <f>J89</f>
        <v>0</v>
      </c>
    </row>
    <row r="89" spans="1:10" s="154" customFormat="1" ht="47.25" customHeight="1">
      <c r="A89" s="146" t="s">
        <v>17</v>
      </c>
      <c r="B89" s="176"/>
      <c r="C89" s="176"/>
      <c r="D89" s="177" t="s">
        <v>132</v>
      </c>
      <c r="E89" s="178"/>
      <c r="F89" s="179"/>
      <c r="G89" s="153">
        <f t="shared" si="2"/>
        <v>1304476</v>
      </c>
      <c r="H89" s="153">
        <f>H90+H93+H97</f>
        <v>1304476</v>
      </c>
      <c r="I89" s="153">
        <f>I90+I93</f>
        <v>0</v>
      </c>
      <c r="J89" s="153">
        <f>J90+J93</f>
        <v>0</v>
      </c>
    </row>
    <row r="90" spans="1:10" s="154" customFormat="1" ht="50.25" customHeight="1">
      <c r="A90" s="103"/>
      <c r="B90" s="103" t="s">
        <v>133</v>
      </c>
      <c r="C90" s="103"/>
      <c r="D90" s="104" t="s">
        <v>98</v>
      </c>
      <c r="E90" s="178"/>
      <c r="F90" s="179"/>
      <c r="G90" s="153">
        <f t="shared" si="2"/>
        <v>12000</v>
      </c>
      <c r="H90" s="153">
        <f aca="true" t="shared" si="4" ref="H90:J91">H91</f>
        <v>12000</v>
      </c>
      <c r="I90" s="153">
        <f t="shared" si="4"/>
        <v>0</v>
      </c>
      <c r="J90" s="153">
        <f t="shared" si="4"/>
        <v>0</v>
      </c>
    </row>
    <row r="91" spans="1:10" s="159" customFormat="1" ht="72" customHeight="1">
      <c r="A91" s="103" t="s">
        <v>21</v>
      </c>
      <c r="B91" s="155" t="s">
        <v>22</v>
      </c>
      <c r="C91" s="155" t="s">
        <v>430</v>
      </c>
      <c r="D91" s="156" t="s">
        <v>23</v>
      </c>
      <c r="E91" s="180"/>
      <c r="F91" s="158"/>
      <c r="G91" s="153">
        <f t="shared" si="2"/>
        <v>12000</v>
      </c>
      <c r="H91" s="153">
        <f t="shared" si="4"/>
        <v>12000</v>
      </c>
      <c r="I91" s="153">
        <f t="shared" si="4"/>
        <v>0</v>
      </c>
      <c r="J91" s="153">
        <f t="shared" si="4"/>
        <v>0</v>
      </c>
    </row>
    <row r="92" spans="1:10" s="138" customFormat="1" ht="61.5" customHeight="1">
      <c r="A92" s="6"/>
      <c r="B92" s="160"/>
      <c r="C92" s="160"/>
      <c r="D92" s="161"/>
      <c r="E92" s="126" t="s">
        <v>249</v>
      </c>
      <c r="F92" s="98" t="s">
        <v>263</v>
      </c>
      <c r="G92" s="162">
        <f t="shared" si="2"/>
        <v>12000</v>
      </c>
      <c r="H92" s="162">
        <v>12000</v>
      </c>
      <c r="I92" s="163"/>
      <c r="J92" s="163"/>
    </row>
    <row r="93" spans="1:10" s="159" customFormat="1" ht="39.75" customHeight="1">
      <c r="A93" s="103"/>
      <c r="B93" s="103" t="s">
        <v>134</v>
      </c>
      <c r="C93" s="103"/>
      <c r="D93" s="104" t="s">
        <v>135</v>
      </c>
      <c r="E93" s="181"/>
      <c r="F93" s="158"/>
      <c r="G93" s="153">
        <f t="shared" si="2"/>
        <v>92415</v>
      </c>
      <c r="H93" s="153">
        <f>H94</f>
        <v>92415</v>
      </c>
      <c r="I93" s="153">
        <f>I94</f>
        <v>0</v>
      </c>
      <c r="J93" s="153">
        <f>J94</f>
        <v>0</v>
      </c>
    </row>
    <row r="94" spans="1:10" s="159" customFormat="1" ht="42" customHeight="1">
      <c r="A94" s="103" t="s">
        <v>40</v>
      </c>
      <c r="B94" s="155" t="s">
        <v>41</v>
      </c>
      <c r="C94" s="155" t="s">
        <v>38</v>
      </c>
      <c r="D94" s="156" t="s">
        <v>42</v>
      </c>
      <c r="E94" s="182"/>
      <c r="F94" s="158"/>
      <c r="G94" s="153">
        <f t="shared" si="2"/>
        <v>92415</v>
      </c>
      <c r="H94" s="153">
        <f>SUM(H95:H96)</f>
        <v>92415</v>
      </c>
      <c r="I94" s="153">
        <f>SUM(I95:I96)</f>
        <v>0</v>
      </c>
      <c r="J94" s="153">
        <f>SUM(J95:J96)</f>
        <v>0</v>
      </c>
    </row>
    <row r="95" spans="1:10" s="166" customFormat="1" ht="53.25" customHeight="1">
      <c r="A95" s="6"/>
      <c r="B95" s="160"/>
      <c r="C95" s="160"/>
      <c r="D95" s="161"/>
      <c r="E95" s="183" t="s">
        <v>157</v>
      </c>
      <c r="F95" s="98" t="s">
        <v>74</v>
      </c>
      <c r="G95" s="162">
        <f t="shared" si="2"/>
        <v>63000</v>
      </c>
      <c r="H95" s="162">
        <v>63000</v>
      </c>
      <c r="I95" s="163"/>
      <c r="J95" s="163"/>
    </row>
    <row r="96" spans="1:10" s="166" customFormat="1" ht="62.25" customHeight="1">
      <c r="A96" s="6"/>
      <c r="B96" s="160"/>
      <c r="C96" s="160"/>
      <c r="D96" s="161"/>
      <c r="E96" s="107" t="s">
        <v>248</v>
      </c>
      <c r="F96" s="98" t="s">
        <v>264</v>
      </c>
      <c r="G96" s="162">
        <f t="shared" si="2"/>
        <v>29415</v>
      </c>
      <c r="H96" s="162">
        <f>6000+23415</f>
        <v>29415</v>
      </c>
      <c r="I96" s="163"/>
      <c r="J96" s="163"/>
    </row>
    <row r="97" spans="1:10" s="159" customFormat="1" ht="39.75" customHeight="1">
      <c r="A97" s="103"/>
      <c r="B97" s="103" t="s">
        <v>130</v>
      </c>
      <c r="C97" s="103"/>
      <c r="D97" s="104" t="s">
        <v>131</v>
      </c>
      <c r="E97" s="180"/>
      <c r="F97" s="158"/>
      <c r="G97" s="153">
        <f aca="true" t="shared" si="5" ref="G97:G103">H97+I97</f>
        <v>1200061</v>
      </c>
      <c r="H97" s="153">
        <f>H98+H100+H102</f>
        <v>1200061</v>
      </c>
      <c r="I97" s="153">
        <f>I98+I100+I102</f>
        <v>0</v>
      </c>
      <c r="J97" s="153">
        <f>J98+J100+J102</f>
        <v>0</v>
      </c>
    </row>
    <row r="98" spans="1:10" s="159" customFormat="1" ht="53.25" customHeight="1">
      <c r="A98" s="103" t="s">
        <v>43</v>
      </c>
      <c r="B98" s="155" t="s">
        <v>44</v>
      </c>
      <c r="C98" s="155" t="s">
        <v>14</v>
      </c>
      <c r="D98" s="156" t="s">
        <v>45</v>
      </c>
      <c r="E98" s="182"/>
      <c r="F98" s="158"/>
      <c r="G98" s="153">
        <f t="shared" si="5"/>
        <v>25000</v>
      </c>
      <c r="H98" s="153">
        <f>SUM(H99)</f>
        <v>25000</v>
      </c>
      <c r="I98" s="153">
        <f>SUM(I99)</f>
        <v>0</v>
      </c>
      <c r="J98" s="153">
        <f>SUM(J99)</f>
        <v>0</v>
      </c>
    </row>
    <row r="99" spans="1:10" s="166" customFormat="1" ht="57" customHeight="1">
      <c r="A99" s="6"/>
      <c r="B99" s="160"/>
      <c r="C99" s="160"/>
      <c r="D99" s="161"/>
      <c r="E99" s="183" t="s">
        <v>200</v>
      </c>
      <c r="F99" s="98" t="s">
        <v>202</v>
      </c>
      <c r="G99" s="162">
        <f t="shared" si="5"/>
        <v>25000</v>
      </c>
      <c r="H99" s="162">
        <f>15000+10000</f>
        <v>25000</v>
      </c>
      <c r="I99" s="163"/>
      <c r="J99" s="163"/>
    </row>
    <row r="100" spans="1:10" s="159" customFormat="1" ht="42" customHeight="1">
      <c r="A100" s="103" t="s">
        <v>49</v>
      </c>
      <c r="B100" s="155" t="s">
        <v>50</v>
      </c>
      <c r="C100" s="155" t="s">
        <v>14</v>
      </c>
      <c r="D100" s="156" t="s">
        <v>51</v>
      </c>
      <c r="E100" s="182"/>
      <c r="F100" s="158"/>
      <c r="G100" s="153">
        <f t="shared" si="5"/>
        <v>714891</v>
      </c>
      <c r="H100" s="153">
        <f>SUM(H101)</f>
        <v>714891</v>
      </c>
      <c r="I100" s="153">
        <f>SUM(I101)</f>
        <v>0</v>
      </c>
      <c r="J100" s="153">
        <f>SUM(J101)</f>
        <v>0</v>
      </c>
    </row>
    <row r="101" spans="1:10" s="166" customFormat="1" ht="62.25" customHeight="1">
      <c r="A101" s="6"/>
      <c r="B101" s="160"/>
      <c r="C101" s="160"/>
      <c r="D101" s="161"/>
      <c r="E101" s="183" t="s">
        <v>200</v>
      </c>
      <c r="F101" s="98" t="s">
        <v>202</v>
      </c>
      <c r="G101" s="162">
        <f t="shared" si="5"/>
        <v>714891</v>
      </c>
      <c r="H101" s="162">
        <f>622900+41991+50000</f>
        <v>714891</v>
      </c>
      <c r="I101" s="163"/>
      <c r="J101" s="163"/>
    </row>
    <row r="102" spans="1:10" s="159" customFormat="1" ht="96.75" customHeight="1">
      <c r="A102" s="103" t="s">
        <v>158</v>
      </c>
      <c r="B102" s="155" t="s">
        <v>159</v>
      </c>
      <c r="C102" s="155" t="s">
        <v>14</v>
      </c>
      <c r="D102" s="156" t="s">
        <v>160</v>
      </c>
      <c r="E102" s="182"/>
      <c r="F102" s="158"/>
      <c r="G102" s="153">
        <f t="shared" si="5"/>
        <v>460170</v>
      </c>
      <c r="H102" s="153">
        <f>SUM(H103)</f>
        <v>460170</v>
      </c>
      <c r="I102" s="153">
        <f>SUM(I103)</f>
        <v>0</v>
      </c>
      <c r="J102" s="153">
        <f>SUM(J103)</f>
        <v>0</v>
      </c>
    </row>
    <row r="103" spans="1:10" s="166" customFormat="1" ht="57" customHeight="1">
      <c r="A103" s="6"/>
      <c r="B103" s="160"/>
      <c r="C103" s="160"/>
      <c r="D103" s="161"/>
      <c r="E103" s="183" t="s">
        <v>200</v>
      </c>
      <c r="F103" s="98" t="s">
        <v>202</v>
      </c>
      <c r="G103" s="162">
        <f t="shared" si="5"/>
        <v>460170</v>
      </c>
      <c r="H103" s="162">
        <f>418400-50000+41770+50000</f>
        <v>460170</v>
      </c>
      <c r="I103" s="163"/>
      <c r="J103" s="163"/>
    </row>
    <row r="104" spans="1:10" s="131" customFormat="1" ht="26.25" customHeight="1">
      <c r="A104" s="184" t="s">
        <v>372</v>
      </c>
      <c r="B104" s="184" t="s">
        <v>372</v>
      </c>
      <c r="C104" s="184" t="s">
        <v>372</v>
      </c>
      <c r="D104" s="176" t="s">
        <v>58</v>
      </c>
      <c r="E104" s="184" t="s">
        <v>372</v>
      </c>
      <c r="F104" s="185" t="s">
        <v>372</v>
      </c>
      <c r="G104" s="153">
        <f t="shared" si="2"/>
        <v>32746190</v>
      </c>
      <c r="H104" s="153">
        <f>H88+H67+H14+H75</f>
        <v>30548180</v>
      </c>
      <c r="I104" s="153">
        <f>I88+I67+I14+I75</f>
        <v>2198010</v>
      </c>
      <c r="J104" s="153">
        <f>J88+J67+J14+J75</f>
        <v>2043010</v>
      </c>
    </row>
    <row r="105" spans="1:10" s="192" customFormat="1" ht="15.75" customHeight="1">
      <c r="A105" s="186"/>
      <c r="B105" s="187"/>
      <c r="C105" s="187"/>
      <c r="D105" s="188"/>
      <c r="E105" s="189"/>
      <c r="F105" s="189"/>
      <c r="G105" s="189"/>
      <c r="H105" s="190"/>
      <c r="I105" s="191"/>
      <c r="J105" s="191"/>
    </row>
    <row r="106" spans="1:10" s="192" customFormat="1" ht="18">
      <c r="A106" s="186"/>
      <c r="B106" s="187"/>
      <c r="C106" s="187"/>
      <c r="D106" s="188"/>
      <c r="E106" s="189"/>
      <c r="F106" s="189"/>
      <c r="G106" s="189"/>
      <c r="H106" s="190"/>
      <c r="I106" s="191"/>
      <c r="J106" s="191"/>
    </row>
    <row r="107" spans="1:10" s="194" customFormat="1" ht="24.75" customHeight="1">
      <c r="A107" s="193"/>
      <c r="B107" s="264" t="str">
        <f>додаток1!A131</f>
        <v>Секретар міської ради                                                                        Наталія  ІВАНЮТА</v>
      </c>
      <c r="C107" s="264"/>
      <c r="D107" s="264"/>
      <c r="E107" s="264"/>
      <c r="F107" s="264"/>
      <c r="G107" s="264"/>
      <c r="H107" s="264"/>
      <c r="I107" s="264"/>
      <c r="J107" s="264"/>
    </row>
    <row r="108" spans="1:10" s="192" customFormat="1" ht="18">
      <c r="A108" s="186"/>
      <c r="B108" s="195"/>
      <c r="C108" s="195"/>
      <c r="D108" s="196"/>
      <c r="E108" s="191"/>
      <c r="F108" s="191"/>
      <c r="G108" s="191"/>
      <c r="H108" s="190"/>
      <c r="I108" s="191"/>
      <c r="J108" s="191"/>
    </row>
    <row r="109" spans="1:11" s="192" customFormat="1" ht="18">
      <c r="A109" s="186"/>
      <c r="B109" s="195"/>
      <c r="C109" s="195"/>
      <c r="D109" s="196"/>
      <c r="E109" s="191"/>
      <c r="F109" s="191"/>
      <c r="G109" s="191"/>
      <c r="H109" s="191"/>
      <c r="I109" s="142"/>
      <c r="J109" s="142"/>
      <c r="K109" s="197"/>
    </row>
    <row r="110" spans="1:10" s="192" customFormat="1" ht="18">
      <c r="A110" s="186"/>
      <c r="B110" s="195"/>
      <c r="C110" s="195"/>
      <c r="D110" s="196"/>
      <c r="E110" s="191"/>
      <c r="F110" s="191"/>
      <c r="G110" s="191"/>
      <c r="H110" s="190"/>
      <c r="I110" s="191"/>
      <c r="J110" s="191"/>
    </row>
    <row r="111" spans="1:10" s="192" customFormat="1" ht="18">
      <c r="A111" s="186"/>
      <c r="B111" s="195"/>
      <c r="C111" s="195"/>
      <c r="D111" s="196"/>
      <c r="E111" s="191"/>
      <c r="F111" s="191"/>
      <c r="G111" s="191"/>
      <c r="H111" s="190"/>
      <c r="I111" s="191"/>
      <c r="J111" s="191"/>
    </row>
    <row r="112" spans="1:10" s="192" customFormat="1" ht="18">
      <c r="A112" s="186"/>
      <c r="B112" s="195"/>
      <c r="C112" s="195"/>
      <c r="D112" s="196"/>
      <c r="E112" s="191"/>
      <c r="F112" s="191"/>
      <c r="G112" s="191"/>
      <c r="H112" s="190"/>
      <c r="I112" s="191"/>
      <c r="J112" s="191"/>
    </row>
    <row r="113" spans="1:10" s="192" customFormat="1" ht="18">
      <c r="A113" s="186"/>
      <c r="B113" s="195"/>
      <c r="C113" s="195"/>
      <c r="D113" s="196"/>
      <c r="E113" s="191"/>
      <c r="F113" s="191"/>
      <c r="G113" s="191"/>
      <c r="H113" s="190"/>
      <c r="I113" s="191"/>
      <c r="J113" s="191"/>
    </row>
    <row r="114" spans="1:10" s="192" customFormat="1" ht="18">
      <c r="A114" s="186"/>
      <c r="B114" s="195"/>
      <c r="C114" s="195"/>
      <c r="D114" s="196"/>
      <c r="E114" s="191"/>
      <c r="F114" s="191"/>
      <c r="G114" s="191"/>
      <c r="H114" s="190"/>
      <c r="I114" s="191"/>
      <c r="J114" s="191"/>
    </row>
    <row r="115" spans="1:10" s="192" customFormat="1" ht="18">
      <c r="A115" s="186"/>
      <c r="B115" s="195"/>
      <c r="C115" s="195"/>
      <c r="D115" s="196"/>
      <c r="E115" s="191"/>
      <c r="F115" s="191"/>
      <c r="G115" s="191"/>
      <c r="H115" s="190"/>
      <c r="I115" s="191"/>
      <c r="J115" s="191"/>
    </row>
    <row r="116" spans="1:10" s="192" customFormat="1" ht="18">
      <c r="A116" s="186"/>
      <c r="B116" s="195"/>
      <c r="C116" s="195"/>
      <c r="D116" s="196"/>
      <c r="E116" s="191"/>
      <c r="F116" s="191"/>
      <c r="G116" s="191"/>
      <c r="H116" s="190"/>
      <c r="I116" s="191"/>
      <c r="J116" s="191"/>
    </row>
    <row r="117" spans="1:10" s="192" customFormat="1" ht="18">
      <c r="A117" s="186"/>
      <c r="B117" s="195"/>
      <c r="C117" s="195"/>
      <c r="D117" s="196"/>
      <c r="E117" s="191"/>
      <c r="F117" s="191"/>
      <c r="G117" s="191"/>
      <c r="H117" s="190"/>
      <c r="I117" s="191"/>
      <c r="J117" s="191"/>
    </row>
    <row r="118" spans="1:10" s="192" customFormat="1" ht="18">
      <c r="A118" s="186"/>
      <c r="B118" s="195"/>
      <c r="C118" s="195"/>
      <c r="D118" s="196"/>
      <c r="E118" s="191"/>
      <c r="F118" s="191"/>
      <c r="G118" s="191"/>
      <c r="H118" s="190"/>
      <c r="I118" s="191"/>
      <c r="J118" s="191"/>
    </row>
    <row r="119" spans="1:10" s="192" customFormat="1" ht="18">
      <c r="A119" s="186"/>
      <c r="B119" s="195"/>
      <c r="C119" s="195"/>
      <c r="D119" s="196"/>
      <c r="E119" s="191"/>
      <c r="F119" s="191"/>
      <c r="G119" s="191"/>
      <c r="H119" s="190"/>
      <c r="I119" s="191"/>
      <c r="J119" s="191"/>
    </row>
    <row r="120" spans="1:10" s="192" customFormat="1" ht="18">
      <c r="A120" s="186"/>
      <c r="B120" s="195"/>
      <c r="C120" s="195"/>
      <c r="D120" s="196"/>
      <c r="E120" s="191"/>
      <c r="F120" s="191"/>
      <c r="G120" s="191"/>
      <c r="H120" s="190"/>
      <c r="I120" s="191"/>
      <c r="J120" s="191"/>
    </row>
    <row r="121" spans="1:10" s="192" customFormat="1" ht="18">
      <c r="A121" s="186"/>
      <c r="B121" s="195"/>
      <c r="C121" s="195"/>
      <c r="D121" s="196"/>
      <c r="E121" s="191"/>
      <c r="F121" s="191"/>
      <c r="G121" s="191"/>
      <c r="H121" s="190"/>
      <c r="I121" s="191"/>
      <c r="J121" s="191"/>
    </row>
    <row r="122" spans="1:10" s="192" customFormat="1" ht="18">
      <c r="A122" s="186"/>
      <c r="B122" s="195"/>
      <c r="C122" s="195"/>
      <c r="D122" s="196"/>
      <c r="E122" s="191"/>
      <c r="F122" s="191"/>
      <c r="G122" s="191"/>
      <c r="H122" s="190"/>
      <c r="I122" s="191"/>
      <c r="J122" s="191"/>
    </row>
    <row r="123" spans="1:10" s="192" customFormat="1" ht="18">
      <c r="A123" s="186"/>
      <c r="B123" s="195"/>
      <c r="C123" s="195"/>
      <c r="D123" s="196"/>
      <c r="E123" s="191"/>
      <c r="F123" s="191"/>
      <c r="G123" s="191"/>
      <c r="H123" s="190"/>
      <c r="I123" s="191"/>
      <c r="J123" s="191"/>
    </row>
    <row r="124" spans="1:10" s="192" customFormat="1" ht="18">
      <c r="A124" s="186"/>
      <c r="B124" s="195"/>
      <c r="C124" s="195"/>
      <c r="D124" s="196"/>
      <c r="E124" s="191"/>
      <c r="F124" s="191"/>
      <c r="G124" s="191"/>
      <c r="H124" s="190"/>
      <c r="I124" s="191"/>
      <c r="J124" s="191"/>
    </row>
    <row r="125" spans="1:10" s="192" customFormat="1" ht="18">
      <c r="A125" s="186"/>
      <c r="B125" s="195"/>
      <c r="C125" s="195"/>
      <c r="D125" s="196"/>
      <c r="E125" s="191"/>
      <c r="F125" s="191"/>
      <c r="G125" s="191"/>
      <c r="H125" s="190"/>
      <c r="I125" s="191"/>
      <c r="J125" s="191"/>
    </row>
    <row r="126" spans="1:10" s="192" customFormat="1" ht="18">
      <c r="A126" s="186"/>
      <c r="B126" s="195"/>
      <c r="C126" s="195"/>
      <c r="D126" s="196"/>
      <c r="E126" s="191"/>
      <c r="F126" s="191"/>
      <c r="G126" s="191"/>
      <c r="H126" s="190"/>
      <c r="I126" s="191"/>
      <c r="J126" s="191"/>
    </row>
    <row r="127" spans="1:10" s="192" customFormat="1" ht="18">
      <c r="A127" s="186"/>
      <c r="B127" s="195"/>
      <c r="C127" s="195"/>
      <c r="D127" s="196"/>
      <c r="E127" s="191"/>
      <c r="F127" s="191"/>
      <c r="G127" s="191"/>
      <c r="H127" s="190"/>
      <c r="I127" s="191"/>
      <c r="J127" s="191"/>
    </row>
    <row r="128" spans="1:10" s="192" customFormat="1" ht="18">
      <c r="A128" s="186"/>
      <c r="B128" s="195"/>
      <c r="C128" s="195"/>
      <c r="D128" s="196"/>
      <c r="E128" s="191"/>
      <c r="F128" s="191"/>
      <c r="G128" s="191"/>
      <c r="H128" s="190"/>
      <c r="I128" s="191"/>
      <c r="J128" s="191"/>
    </row>
    <row r="129" spans="1:10" s="192" customFormat="1" ht="18">
      <c r="A129" s="186"/>
      <c r="B129" s="195"/>
      <c r="C129" s="195"/>
      <c r="D129" s="196"/>
      <c r="E129" s="191"/>
      <c r="F129" s="191"/>
      <c r="G129" s="191"/>
      <c r="H129" s="190"/>
      <c r="I129" s="191"/>
      <c r="J129" s="191"/>
    </row>
    <row r="130" spans="1:10" s="192" customFormat="1" ht="18">
      <c r="A130" s="186"/>
      <c r="B130" s="195"/>
      <c r="C130" s="195"/>
      <c r="D130" s="196"/>
      <c r="E130" s="191"/>
      <c r="F130" s="191"/>
      <c r="G130" s="191"/>
      <c r="H130" s="190"/>
      <c r="I130" s="191"/>
      <c r="J130" s="191"/>
    </row>
    <row r="131" spans="1:10" s="192" customFormat="1" ht="18">
      <c r="A131" s="186"/>
      <c r="B131" s="195"/>
      <c r="C131" s="195"/>
      <c r="D131" s="196"/>
      <c r="E131" s="191"/>
      <c r="F131" s="191"/>
      <c r="G131" s="191"/>
      <c r="H131" s="190"/>
      <c r="I131" s="191"/>
      <c r="J131" s="191"/>
    </row>
    <row r="132" spans="1:10" s="192" customFormat="1" ht="18">
      <c r="A132" s="186"/>
      <c r="B132" s="195"/>
      <c r="C132" s="195"/>
      <c r="D132" s="196"/>
      <c r="E132" s="191"/>
      <c r="F132" s="191"/>
      <c r="G132" s="191"/>
      <c r="H132" s="190"/>
      <c r="I132" s="191"/>
      <c r="J132" s="191"/>
    </row>
    <row r="133" spans="1:10" s="192" customFormat="1" ht="18">
      <c r="A133" s="186"/>
      <c r="B133" s="195"/>
      <c r="C133" s="195"/>
      <c r="D133" s="196"/>
      <c r="E133" s="191"/>
      <c r="F133" s="191"/>
      <c r="G133" s="191"/>
      <c r="H133" s="190"/>
      <c r="I133" s="191"/>
      <c r="J133" s="191"/>
    </row>
    <row r="134" spans="1:10" s="192" customFormat="1" ht="18">
      <c r="A134" s="186"/>
      <c r="B134" s="195"/>
      <c r="C134" s="195"/>
      <c r="D134" s="196"/>
      <c r="E134" s="191"/>
      <c r="F134" s="191"/>
      <c r="G134" s="191"/>
      <c r="H134" s="190"/>
      <c r="I134" s="191"/>
      <c r="J134" s="191"/>
    </row>
    <row r="135" spans="1:10" s="192" customFormat="1" ht="18">
      <c r="A135" s="186"/>
      <c r="B135" s="195"/>
      <c r="C135" s="195"/>
      <c r="D135" s="196"/>
      <c r="E135" s="191"/>
      <c r="F135" s="191"/>
      <c r="G135" s="191"/>
      <c r="H135" s="190"/>
      <c r="I135" s="191"/>
      <c r="J135" s="191"/>
    </row>
    <row r="136" spans="1:10" s="192" customFormat="1" ht="18">
      <c r="A136" s="186"/>
      <c r="B136" s="195"/>
      <c r="C136" s="195"/>
      <c r="D136" s="196"/>
      <c r="E136" s="191"/>
      <c r="F136" s="191"/>
      <c r="G136" s="191"/>
      <c r="H136" s="190"/>
      <c r="I136" s="191"/>
      <c r="J136" s="191"/>
    </row>
    <row r="137" spans="1:10" s="192" customFormat="1" ht="18">
      <c r="A137" s="186"/>
      <c r="B137" s="195"/>
      <c r="C137" s="195"/>
      <c r="D137" s="196"/>
      <c r="E137" s="191"/>
      <c r="F137" s="191"/>
      <c r="G137" s="191"/>
      <c r="H137" s="190"/>
      <c r="I137" s="191"/>
      <c r="J137" s="191"/>
    </row>
    <row r="138" spans="1:10" s="192" customFormat="1" ht="18">
      <c r="A138" s="186"/>
      <c r="B138" s="195"/>
      <c r="C138" s="195"/>
      <c r="D138" s="196"/>
      <c r="E138" s="191"/>
      <c r="F138" s="191"/>
      <c r="G138" s="191"/>
      <c r="H138" s="190"/>
      <c r="I138" s="191"/>
      <c r="J138" s="191"/>
    </row>
    <row r="139" spans="1:10" s="192" customFormat="1" ht="18">
      <c r="A139" s="186"/>
      <c r="B139" s="195"/>
      <c r="C139" s="195"/>
      <c r="D139" s="196"/>
      <c r="E139" s="191"/>
      <c r="F139" s="191"/>
      <c r="G139" s="191"/>
      <c r="H139" s="190"/>
      <c r="I139" s="191"/>
      <c r="J139" s="191"/>
    </row>
    <row r="140" spans="1:10" s="192" customFormat="1" ht="18">
      <c r="A140" s="186"/>
      <c r="B140" s="195"/>
      <c r="C140" s="195"/>
      <c r="D140" s="196"/>
      <c r="E140" s="191"/>
      <c r="F140" s="191"/>
      <c r="G140" s="191"/>
      <c r="H140" s="190"/>
      <c r="I140" s="191"/>
      <c r="J140" s="191"/>
    </row>
    <row r="141" spans="1:10" s="192" customFormat="1" ht="18">
      <c r="A141" s="186"/>
      <c r="B141" s="195"/>
      <c r="C141" s="195"/>
      <c r="D141" s="196"/>
      <c r="E141" s="191"/>
      <c r="F141" s="191"/>
      <c r="G141" s="191"/>
      <c r="H141" s="190"/>
      <c r="I141" s="191"/>
      <c r="J141" s="191"/>
    </row>
    <row r="142" spans="1:10" s="197" customFormat="1" ht="18">
      <c r="A142" s="198"/>
      <c r="B142" s="199"/>
      <c r="C142" s="199"/>
      <c r="D142" s="200"/>
      <c r="E142" s="142"/>
      <c r="F142" s="142"/>
      <c r="G142" s="142"/>
      <c r="H142" s="201"/>
      <c r="I142" s="142"/>
      <c r="J142" s="142"/>
    </row>
    <row r="143" spans="1:10" s="197" customFormat="1" ht="18">
      <c r="A143" s="198"/>
      <c r="B143" s="199"/>
      <c r="C143" s="199"/>
      <c r="D143" s="200"/>
      <c r="E143" s="142"/>
      <c r="F143" s="142"/>
      <c r="G143" s="142"/>
      <c r="H143" s="201"/>
      <c r="I143" s="142"/>
      <c r="J143" s="142"/>
    </row>
    <row r="144" spans="1:10" s="197" customFormat="1" ht="18">
      <c r="A144" s="198"/>
      <c r="B144" s="199"/>
      <c r="C144" s="199"/>
      <c r="D144" s="200"/>
      <c r="E144" s="142"/>
      <c r="F144" s="142"/>
      <c r="G144" s="142"/>
      <c r="H144" s="201"/>
      <c r="I144" s="142"/>
      <c r="J144" s="142"/>
    </row>
    <row r="145" spans="1:10" s="197" customFormat="1" ht="18">
      <c r="A145" s="198"/>
      <c r="B145" s="199"/>
      <c r="C145" s="199"/>
      <c r="D145" s="200"/>
      <c r="E145" s="142"/>
      <c r="F145" s="142"/>
      <c r="G145" s="142"/>
      <c r="H145" s="201"/>
      <c r="I145" s="142"/>
      <c r="J145" s="142"/>
    </row>
    <row r="146" spans="1:10" s="197" customFormat="1" ht="18">
      <c r="A146" s="198"/>
      <c r="B146" s="199"/>
      <c r="C146" s="199"/>
      <c r="D146" s="200"/>
      <c r="E146" s="142"/>
      <c r="F146" s="142"/>
      <c r="G146" s="142"/>
      <c r="H146" s="201"/>
      <c r="I146" s="142"/>
      <c r="J146" s="142"/>
    </row>
    <row r="147" spans="1:10" s="197" customFormat="1" ht="18">
      <c r="A147" s="198"/>
      <c r="B147" s="199"/>
      <c r="C147" s="199"/>
      <c r="D147" s="200"/>
      <c r="E147" s="142"/>
      <c r="F147" s="142"/>
      <c r="G147" s="142"/>
      <c r="H147" s="201"/>
      <c r="I147" s="142"/>
      <c r="J147" s="142"/>
    </row>
    <row r="148" spans="1:10" s="197" customFormat="1" ht="18">
      <c r="A148" s="198"/>
      <c r="B148" s="199"/>
      <c r="C148" s="199"/>
      <c r="D148" s="200"/>
      <c r="E148" s="142"/>
      <c r="F148" s="142"/>
      <c r="G148" s="142"/>
      <c r="H148" s="201"/>
      <c r="I148" s="142"/>
      <c r="J148" s="142"/>
    </row>
    <row r="149" spans="1:10" s="197" customFormat="1" ht="18">
      <c r="A149" s="198"/>
      <c r="B149" s="199"/>
      <c r="C149" s="199"/>
      <c r="D149" s="200"/>
      <c r="E149" s="142"/>
      <c r="F149" s="142"/>
      <c r="G149" s="142"/>
      <c r="H149" s="201"/>
      <c r="I149" s="142"/>
      <c r="J149" s="142"/>
    </row>
    <row r="150" spans="1:10" s="197" customFormat="1" ht="18">
      <c r="A150" s="198"/>
      <c r="B150" s="199"/>
      <c r="C150" s="199"/>
      <c r="D150" s="200"/>
      <c r="E150" s="142"/>
      <c r="F150" s="142"/>
      <c r="G150" s="142"/>
      <c r="H150" s="201"/>
      <c r="I150" s="142"/>
      <c r="J150" s="142"/>
    </row>
    <row r="151" spans="1:10" s="197" customFormat="1" ht="18">
      <c r="A151" s="198"/>
      <c r="B151" s="199"/>
      <c r="C151" s="199"/>
      <c r="D151" s="200"/>
      <c r="E151" s="142"/>
      <c r="F151" s="142"/>
      <c r="G151" s="142"/>
      <c r="H151" s="201"/>
      <c r="I151" s="142"/>
      <c r="J151" s="142"/>
    </row>
    <row r="152" spans="1:10" s="197" customFormat="1" ht="18">
      <c r="A152" s="198"/>
      <c r="B152" s="199"/>
      <c r="C152" s="199"/>
      <c r="D152" s="200"/>
      <c r="E152" s="142"/>
      <c r="F152" s="142"/>
      <c r="G152" s="142"/>
      <c r="H152" s="201"/>
      <c r="I152" s="142"/>
      <c r="J152" s="142"/>
    </row>
    <row r="153" spans="1:10" s="197" customFormat="1" ht="18">
      <c r="A153" s="198"/>
      <c r="B153" s="199"/>
      <c r="C153" s="199"/>
      <c r="D153" s="200"/>
      <c r="E153" s="142"/>
      <c r="F153" s="142"/>
      <c r="G153" s="142"/>
      <c r="H153" s="201"/>
      <c r="I153" s="142"/>
      <c r="J153" s="142"/>
    </row>
    <row r="154" spans="1:10" s="197" customFormat="1" ht="18">
      <c r="A154" s="198"/>
      <c r="B154" s="199"/>
      <c r="C154" s="199"/>
      <c r="D154" s="200"/>
      <c r="E154" s="142"/>
      <c r="F154" s="142"/>
      <c r="G154" s="142"/>
      <c r="H154" s="201"/>
      <c r="I154" s="142"/>
      <c r="J154" s="142"/>
    </row>
    <row r="155" spans="1:10" s="197" customFormat="1" ht="18">
      <c r="A155" s="198"/>
      <c r="B155" s="199"/>
      <c r="C155" s="199"/>
      <c r="D155" s="200"/>
      <c r="E155" s="142"/>
      <c r="F155" s="142"/>
      <c r="G155" s="142"/>
      <c r="H155" s="201"/>
      <c r="I155" s="142"/>
      <c r="J155" s="142"/>
    </row>
    <row r="156" spans="1:10" s="197" customFormat="1" ht="18">
      <c r="A156" s="198"/>
      <c r="B156" s="199"/>
      <c r="C156" s="199"/>
      <c r="D156" s="200"/>
      <c r="E156" s="142"/>
      <c r="F156" s="142"/>
      <c r="G156" s="142"/>
      <c r="H156" s="201"/>
      <c r="I156" s="142"/>
      <c r="J156" s="142"/>
    </row>
    <row r="157" spans="1:10" s="197" customFormat="1" ht="18">
      <c r="A157" s="198"/>
      <c r="B157" s="199"/>
      <c r="C157" s="199"/>
      <c r="D157" s="200"/>
      <c r="E157" s="142"/>
      <c r="F157" s="142"/>
      <c r="G157" s="142"/>
      <c r="H157" s="201"/>
      <c r="I157" s="142"/>
      <c r="J157" s="142"/>
    </row>
    <row r="158" spans="1:10" s="197" customFormat="1" ht="18">
      <c r="A158" s="198"/>
      <c r="B158" s="199"/>
      <c r="C158" s="199"/>
      <c r="D158" s="200"/>
      <c r="E158" s="142"/>
      <c r="F158" s="142"/>
      <c r="G158" s="142"/>
      <c r="H158" s="201"/>
      <c r="I158" s="142"/>
      <c r="J158" s="142"/>
    </row>
    <row r="159" spans="1:10" s="197" customFormat="1" ht="18">
      <c r="A159" s="198"/>
      <c r="B159" s="199"/>
      <c r="C159" s="199"/>
      <c r="D159" s="200"/>
      <c r="E159" s="142"/>
      <c r="F159" s="142"/>
      <c r="G159" s="142"/>
      <c r="H159" s="201"/>
      <c r="I159" s="142"/>
      <c r="J159" s="142"/>
    </row>
    <row r="160" spans="1:10" s="197" customFormat="1" ht="18">
      <c r="A160" s="198"/>
      <c r="B160" s="199"/>
      <c r="C160" s="199"/>
      <c r="D160" s="200"/>
      <c r="E160" s="142"/>
      <c r="F160" s="142"/>
      <c r="G160" s="142"/>
      <c r="H160" s="201"/>
      <c r="I160" s="142"/>
      <c r="J160" s="142"/>
    </row>
    <row r="161" spans="1:10" s="197" customFormat="1" ht="18">
      <c r="A161" s="198"/>
      <c r="B161" s="199"/>
      <c r="C161" s="199"/>
      <c r="D161" s="200"/>
      <c r="E161" s="142"/>
      <c r="F161" s="142"/>
      <c r="G161" s="142"/>
      <c r="H161" s="201"/>
      <c r="I161" s="142"/>
      <c r="J161" s="142"/>
    </row>
    <row r="162" spans="1:10" s="197" customFormat="1" ht="18">
      <c r="A162" s="198"/>
      <c r="B162" s="199"/>
      <c r="C162" s="199"/>
      <c r="D162" s="200"/>
      <c r="E162" s="142"/>
      <c r="F162" s="142"/>
      <c r="G162" s="142"/>
      <c r="H162" s="201"/>
      <c r="I162" s="142"/>
      <c r="J162" s="142"/>
    </row>
    <row r="163" spans="1:10" s="197" customFormat="1" ht="18">
      <c r="A163" s="198"/>
      <c r="B163" s="199"/>
      <c r="C163" s="199"/>
      <c r="D163" s="200"/>
      <c r="E163" s="142"/>
      <c r="F163" s="142"/>
      <c r="G163" s="142"/>
      <c r="H163" s="201"/>
      <c r="I163" s="142"/>
      <c r="J163" s="142"/>
    </row>
    <row r="164" spans="1:10" s="197" customFormat="1" ht="18">
      <c r="A164" s="198"/>
      <c r="B164" s="199"/>
      <c r="C164" s="199"/>
      <c r="D164" s="200"/>
      <c r="E164" s="142"/>
      <c r="F164" s="142"/>
      <c r="G164" s="142"/>
      <c r="H164" s="201"/>
      <c r="I164" s="142"/>
      <c r="J164" s="142"/>
    </row>
    <row r="165" spans="1:10" s="197" customFormat="1" ht="18">
      <c r="A165" s="198"/>
      <c r="B165" s="199"/>
      <c r="C165" s="199"/>
      <c r="D165" s="200"/>
      <c r="E165" s="142"/>
      <c r="F165" s="142"/>
      <c r="G165" s="142"/>
      <c r="H165" s="201"/>
      <c r="I165" s="142"/>
      <c r="J165" s="142"/>
    </row>
    <row r="166" spans="1:10" s="197" customFormat="1" ht="18">
      <c r="A166" s="198"/>
      <c r="B166" s="199"/>
      <c r="C166" s="199"/>
      <c r="D166" s="200"/>
      <c r="E166" s="142"/>
      <c r="F166" s="142"/>
      <c r="G166" s="142"/>
      <c r="H166" s="201"/>
      <c r="I166" s="142"/>
      <c r="J166" s="142"/>
    </row>
    <row r="167" spans="1:10" s="197" customFormat="1" ht="18">
      <c r="A167" s="198"/>
      <c r="B167" s="199"/>
      <c r="C167" s="199"/>
      <c r="D167" s="200"/>
      <c r="E167" s="142"/>
      <c r="F167" s="142"/>
      <c r="G167" s="142"/>
      <c r="H167" s="201"/>
      <c r="I167" s="142"/>
      <c r="J167" s="142"/>
    </row>
    <row r="168" spans="1:10" s="197" customFormat="1" ht="18">
      <c r="A168" s="198"/>
      <c r="B168" s="199"/>
      <c r="C168" s="199"/>
      <c r="D168" s="200"/>
      <c r="E168" s="142"/>
      <c r="F168" s="142"/>
      <c r="G168" s="142"/>
      <c r="H168" s="201"/>
      <c r="I168" s="142"/>
      <c r="J168" s="142"/>
    </row>
    <row r="169" spans="1:10" s="197" customFormat="1" ht="18">
      <c r="A169" s="198"/>
      <c r="B169" s="199"/>
      <c r="C169" s="199"/>
      <c r="D169" s="200"/>
      <c r="E169" s="142"/>
      <c r="F169" s="142"/>
      <c r="G169" s="142"/>
      <c r="H169" s="201"/>
      <c r="I169" s="142"/>
      <c r="J169" s="142"/>
    </row>
    <row r="170" spans="1:10" s="197" customFormat="1" ht="18">
      <c r="A170" s="198"/>
      <c r="B170" s="199"/>
      <c r="C170" s="199"/>
      <c r="D170" s="200"/>
      <c r="E170" s="142"/>
      <c r="F170" s="142"/>
      <c r="G170" s="142"/>
      <c r="H170" s="201"/>
      <c r="I170" s="142"/>
      <c r="J170" s="142"/>
    </row>
    <row r="171" spans="1:10" s="197" customFormat="1" ht="18">
      <c r="A171" s="198"/>
      <c r="B171" s="199"/>
      <c r="C171" s="199"/>
      <c r="D171" s="200"/>
      <c r="E171" s="142"/>
      <c r="F171" s="142"/>
      <c r="G171" s="142"/>
      <c r="H171" s="201"/>
      <c r="I171" s="142"/>
      <c r="J171" s="142"/>
    </row>
    <row r="172" spans="1:10" s="197" customFormat="1" ht="18">
      <c r="A172" s="198"/>
      <c r="B172" s="199"/>
      <c r="C172" s="199"/>
      <c r="D172" s="200"/>
      <c r="E172" s="142"/>
      <c r="F172" s="142"/>
      <c r="G172" s="142"/>
      <c r="H172" s="201"/>
      <c r="I172" s="142"/>
      <c r="J172" s="142"/>
    </row>
    <row r="173" spans="1:10" s="197" customFormat="1" ht="18">
      <c r="A173" s="198"/>
      <c r="B173" s="199"/>
      <c r="C173" s="199"/>
      <c r="D173" s="200"/>
      <c r="E173" s="142"/>
      <c r="F173" s="142"/>
      <c r="G173" s="142"/>
      <c r="H173" s="201"/>
      <c r="I173" s="142"/>
      <c r="J173" s="142"/>
    </row>
    <row r="174" spans="1:10" s="197" customFormat="1" ht="18">
      <c r="A174" s="198"/>
      <c r="B174" s="199"/>
      <c r="C174" s="199"/>
      <c r="D174" s="200"/>
      <c r="E174" s="142"/>
      <c r="F174" s="142"/>
      <c r="G174" s="142"/>
      <c r="H174" s="201"/>
      <c r="I174" s="142"/>
      <c r="J174" s="142"/>
    </row>
    <row r="175" spans="1:10" s="197" customFormat="1" ht="18">
      <c r="A175" s="198"/>
      <c r="B175" s="199"/>
      <c r="C175" s="199"/>
      <c r="D175" s="200"/>
      <c r="E175" s="142"/>
      <c r="F175" s="142"/>
      <c r="G175" s="142"/>
      <c r="H175" s="201"/>
      <c r="I175" s="142"/>
      <c r="J175" s="142"/>
    </row>
    <row r="176" spans="1:10" s="197" customFormat="1" ht="18">
      <c r="A176" s="198"/>
      <c r="B176" s="199"/>
      <c r="C176" s="199"/>
      <c r="D176" s="200"/>
      <c r="E176" s="142"/>
      <c r="F176" s="142"/>
      <c r="G176" s="142"/>
      <c r="H176" s="201"/>
      <c r="I176" s="142"/>
      <c r="J176" s="142"/>
    </row>
    <row r="177" spans="1:10" s="197" customFormat="1" ht="18">
      <c r="A177" s="198"/>
      <c r="B177" s="199"/>
      <c r="C177" s="199"/>
      <c r="D177" s="200"/>
      <c r="E177" s="142"/>
      <c r="F177" s="142"/>
      <c r="G177" s="142"/>
      <c r="H177" s="201"/>
      <c r="I177" s="142"/>
      <c r="J177" s="142"/>
    </row>
    <row r="178" spans="1:10" s="197" customFormat="1" ht="18">
      <c r="A178" s="198"/>
      <c r="B178" s="199"/>
      <c r="C178" s="199"/>
      <c r="D178" s="200"/>
      <c r="E178" s="142"/>
      <c r="F178" s="142"/>
      <c r="G178" s="142"/>
      <c r="H178" s="201"/>
      <c r="I178" s="142"/>
      <c r="J178" s="142"/>
    </row>
    <row r="179" spans="1:10" s="197" customFormat="1" ht="18">
      <c r="A179" s="198"/>
      <c r="B179" s="199"/>
      <c r="C179" s="199"/>
      <c r="D179" s="200"/>
      <c r="E179" s="142"/>
      <c r="F179" s="142"/>
      <c r="G179" s="142"/>
      <c r="H179" s="201"/>
      <c r="I179" s="142"/>
      <c r="J179" s="142"/>
    </row>
    <row r="180" spans="1:10" s="197" customFormat="1" ht="18">
      <c r="A180" s="198"/>
      <c r="B180" s="199"/>
      <c r="C180" s="199"/>
      <c r="D180" s="200"/>
      <c r="E180" s="142"/>
      <c r="F180" s="142"/>
      <c r="G180" s="142"/>
      <c r="H180" s="201"/>
      <c r="I180" s="142"/>
      <c r="J180" s="142"/>
    </row>
    <row r="181" spans="1:10" s="197" customFormat="1" ht="18">
      <c r="A181" s="198"/>
      <c r="B181" s="199"/>
      <c r="C181" s="199"/>
      <c r="D181" s="200"/>
      <c r="E181" s="142"/>
      <c r="F181" s="142"/>
      <c r="G181" s="142"/>
      <c r="H181" s="201"/>
      <c r="I181" s="142"/>
      <c r="J181" s="142"/>
    </row>
    <row r="182" spans="1:10" s="197" customFormat="1" ht="18">
      <c r="A182" s="198"/>
      <c r="B182" s="199"/>
      <c r="C182" s="199"/>
      <c r="D182" s="200"/>
      <c r="E182" s="142"/>
      <c r="F182" s="142"/>
      <c r="G182" s="142"/>
      <c r="H182" s="201"/>
      <c r="I182" s="142"/>
      <c r="J182" s="142"/>
    </row>
    <row r="183" spans="1:10" s="197" customFormat="1" ht="18">
      <c r="A183" s="198"/>
      <c r="B183" s="199"/>
      <c r="C183" s="199"/>
      <c r="D183" s="200"/>
      <c r="E183" s="142"/>
      <c r="F183" s="142"/>
      <c r="G183" s="142"/>
      <c r="H183" s="201"/>
      <c r="I183" s="142"/>
      <c r="J183" s="142"/>
    </row>
    <row r="184" spans="1:10" s="197" customFormat="1" ht="18">
      <c r="A184" s="198"/>
      <c r="B184" s="199"/>
      <c r="C184" s="199"/>
      <c r="D184" s="200"/>
      <c r="E184" s="142"/>
      <c r="F184" s="142"/>
      <c r="G184" s="142"/>
      <c r="H184" s="201"/>
      <c r="I184" s="142"/>
      <c r="J184" s="142"/>
    </row>
    <row r="185" spans="1:10" s="197" customFormat="1" ht="18">
      <c r="A185" s="198"/>
      <c r="B185" s="199"/>
      <c r="C185" s="199"/>
      <c r="D185" s="200"/>
      <c r="E185" s="142"/>
      <c r="F185" s="142"/>
      <c r="G185" s="142"/>
      <c r="H185" s="201"/>
      <c r="I185" s="142"/>
      <c r="J185" s="142"/>
    </row>
    <row r="186" spans="1:10" s="197" customFormat="1" ht="18">
      <c r="A186" s="198"/>
      <c r="B186" s="199"/>
      <c r="C186" s="199"/>
      <c r="D186" s="200"/>
      <c r="E186" s="142"/>
      <c r="F186" s="142"/>
      <c r="G186" s="142"/>
      <c r="H186" s="201"/>
      <c r="I186" s="142"/>
      <c r="J186" s="142"/>
    </row>
    <row r="187" spans="1:10" s="197" customFormat="1" ht="18">
      <c r="A187" s="198"/>
      <c r="B187" s="199"/>
      <c r="C187" s="199"/>
      <c r="D187" s="200"/>
      <c r="E187" s="142"/>
      <c r="F187" s="142"/>
      <c r="G187" s="142"/>
      <c r="H187" s="201"/>
      <c r="I187" s="142"/>
      <c r="J187" s="142"/>
    </row>
    <row r="188" spans="1:10" s="197" customFormat="1" ht="18">
      <c r="A188" s="198"/>
      <c r="B188" s="199"/>
      <c r="C188" s="199"/>
      <c r="D188" s="200"/>
      <c r="E188" s="142"/>
      <c r="F188" s="142"/>
      <c r="G188" s="142"/>
      <c r="H188" s="201"/>
      <c r="I188" s="142"/>
      <c r="J188" s="142"/>
    </row>
    <row r="189" spans="1:10" s="197" customFormat="1" ht="18">
      <c r="A189" s="198"/>
      <c r="B189" s="199"/>
      <c r="C189" s="199"/>
      <c r="D189" s="200"/>
      <c r="E189" s="142"/>
      <c r="F189" s="142"/>
      <c r="G189" s="142"/>
      <c r="H189" s="201"/>
      <c r="I189" s="142"/>
      <c r="J189" s="142"/>
    </row>
    <row r="190" spans="1:10" s="197" customFormat="1" ht="18">
      <c r="A190" s="198"/>
      <c r="B190" s="199"/>
      <c r="C190" s="199"/>
      <c r="D190" s="200"/>
      <c r="E190" s="142"/>
      <c r="F190" s="142"/>
      <c r="G190" s="142"/>
      <c r="H190" s="201"/>
      <c r="I190" s="142"/>
      <c r="J190" s="142"/>
    </row>
    <row r="191" spans="1:10" s="197" customFormat="1" ht="18">
      <c r="A191" s="198"/>
      <c r="B191" s="199"/>
      <c r="C191" s="199"/>
      <c r="D191" s="200"/>
      <c r="E191" s="142"/>
      <c r="F191" s="142"/>
      <c r="G191" s="142"/>
      <c r="H191" s="201"/>
      <c r="I191" s="142"/>
      <c r="J191" s="142"/>
    </row>
    <row r="192" spans="1:10" s="197" customFormat="1" ht="18">
      <c r="A192" s="198"/>
      <c r="B192" s="199"/>
      <c r="C192" s="199"/>
      <c r="D192" s="200"/>
      <c r="E192" s="142"/>
      <c r="F192" s="142"/>
      <c r="G192" s="142"/>
      <c r="H192" s="201"/>
      <c r="I192" s="142"/>
      <c r="J192" s="142"/>
    </row>
    <row r="193" spans="1:10" s="197" customFormat="1" ht="18">
      <c r="A193" s="198"/>
      <c r="B193" s="199"/>
      <c r="C193" s="199"/>
      <c r="D193" s="200"/>
      <c r="E193" s="142"/>
      <c r="F193" s="142"/>
      <c r="G193" s="142"/>
      <c r="H193" s="201"/>
      <c r="I193" s="142"/>
      <c r="J193" s="142"/>
    </row>
    <row r="194" spans="1:10" s="197" customFormat="1" ht="18">
      <c r="A194" s="198"/>
      <c r="B194" s="199"/>
      <c r="C194" s="199"/>
      <c r="D194" s="200"/>
      <c r="E194" s="142"/>
      <c r="F194" s="142"/>
      <c r="G194" s="142"/>
      <c r="H194" s="201"/>
      <c r="I194" s="142"/>
      <c r="J194" s="142"/>
    </row>
    <row r="195" spans="1:10" s="197" customFormat="1" ht="18">
      <c r="A195" s="198"/>
      <c r="B195" s="199"/>
      <c r="C195" s="199"/>
      <c r="D195" s="200"/>
      <c r="E195" s="142"/>
      <c r="F195" s="142"/>
      <c r="G195" s="142"/>
      <c r="H195" s="201"/>
      <c r="I195" s="142"/>
      <c r="J195" s="142"/>
    </row>
    <row r="196" spans="1:10" s="197" customFormat="1" ht="18">
      <c r="A196" s="198"/>
      <c r="B196" s="199"/>
      <c r="C196" s="199"/>
      <c r="D196" s="200"/>
      <c r="E196" s="142"/>
      <c r="F196" s="142"/>
      <c r="G196" s="142"/>
      <c r="H196" s="201"/>
      <c r="I196" s="142"/>
      <c r="J196" s="142"/>
    </row>
    <row r="197" spans="2:10" ht="18">
      <c r="B197" s="89"/>
      <c r="C197" s="89"/>
      <c r="D197" s="90"/>
      <c r="E197" s="66"/>
      <c r="F197" s="66"/>
      <c r="G197" s="66"/>
      <c r="H197" s="91"/>
      <c r="I197" s="66"/>
      <c r="J197" s="66"/>
    </row>
    <row r="198" spans="2:10" ht="18">
      <c r="B198" s="89"/>
      <c r="C198" s="89"/>
      <c r="D198" s="90"/>
      <c r="E198" s="66"/>
      <c r="F198" s="66"/>
      <c r="G198" s="66"/>
      <c r="H198" s="91"/>
      <c r="I198" s="66"/>
      <c r="J198" s="66"/>
    </row>
    <row r="199" spans="2:10" ht="18">
      <c r="B199" s="89"/>
      <c r="C199" s="89"/>
      <c r="D199" s="90"/>
      <c r="E199" s="66"/>
      <c r="F199" s="66"/>
      <c r="G199" s="66"/>
      <c r="H199" s="91"/>
      <c r="I199" s="66"/>
      <c r="J199" s="66"/>
    </row>
    <row r="200" spans="2:10" ht="18">
      <c r="B200" s="89"/>
      <c r="C200" s="89"/>
      <c r="D200" s="90"/>
      <c r="E200" s="66"/>
      <c r="F200" s="66"/>
      <c r="G200" s="66"/>
      <c r="H200" s="91"/>
      <c r="I200" s="66"/>
      <c r="J200" s="66"/>
    </row>
    <row r="201" spans="2:10" ht="18">
      <c r="B201" s="89"/>
      <c r="C201" s="89"/>
      <c r="D201" s="90"/>
      <c r="E201" s="66"/>
      <c r="F201" s="66"/>
      <c r="G201" s="66"/>
      <c r="H201" s="91"/>
      <c r="I201" s="66"/>
      <c r="J201" s="66"/>
    </row>
    <row r="202" spans="2:10" ht="18">
      <c r="B202" s="89"/>
      <c r="C202" s="89"/>
      <c r="D202" s="90"/>
      <c r="E202" s="66"/>
      <c r="F202" s="66"/>
      <c r="G202" s="66"/>
      <c r="H202" s="91"/>
      <c r="I202" s="66"/>
      <c r="J202" s="66"/>
    </row>
  </sheetData>
  <sheetProtection/>
  <mergeCells count="19">
    <mergeCell ref="I11:J11"/>
    <mergeCell ref="B107:J107"/>
    <mergeCell ref="A11:A12"/>
    <mergeCell ref="B11:B12"/>
    <mergeCell ref="C11:C12"/>
    <mergeCell ref="D11:D12"/>
    <mergeCell ref="E11:E12"/>
    <mergeCell ref="H11:H12"/>
    <mergeCell ref="F11:F12"/>
    <mergeCell ref="G11:G12"/>
    <mergeCell ref="B7:J7"/>
    <mergeCell ref="A8:B8"/>
    <mergeCell ref="A9:B9"/>
    <mergeCell ref="G1:J1"/>
    <mergeCell ref="G2:J2"/>
    <mergeCell ref="G3:J3"/>
    <mergeCell ref="G4:J4"/>
    <mergeCell ref="F5:J5"/>
    <mergeCell ref="H6:J6"/>
  </mergeCells>
  <printOptions/>
  <pageMargins left="0.6299212598425197" right="0.3937007874015748" top="0.73" bottom="0.4330708661417323" header="0.11811023622047245" footer="0"/>
  <pageSetup fitToHeight="10"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user</cp:lastModifiedBy>
  <cp:lastPrinted>2023-04-12T06:37:52Z</cp:lastPrinted>
  <dcterms:created xsi:type="dcterms:W3CDTF">2010-12-30T07:19:15Z</dcterms:created>
  <dcterms:modified xsi:type="dcterms:W3CDTF">2023-04-12T06:38:23Z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1049-11.2.0.9635</vt:lpwstr>
  </property>
</Properties>
</file>