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280" tabRatio="792" activeTab="3"/>
  </bookViews>
  <sheets>
    <sheet name="Лист1" sheetId="1" r:id="rId1"/>
    <sheet name="Лист2" sheetId="2" r:id="rId2"/>
    <sheet name="Разом" sheetId="3" r:id="rId3"/>
    <sheet name="Титулка" sheetId="4" r:id="rId4"/>
    <sheet name="л-дні" sheetId="5" r:id="rId5"/>
    <sheet name="Адмін." sheetId="6" r:id="rId6"/>
    <sheet name="Тетіївська" sheetId="7" r:id="rId7"/>
    <sheet name="Денихівська" sheetId="8" r:id="rId8"/>
    <sheet name="П'ятигірська" sheetId="9" r:id="rId9"/>
    <sheet name="Кашперівська" sheetId="10" r:id="rId10"/>
    <sheet name="Голодьківська" sheetId="11" r:id="rId11"/>
    <sheet name="Горошківська" sheetId="12" r:id="rId12"/>
    <sheet name="Галайківська" sheetId="13" r:id="rId13"/>
    <sheet name="Теліженецька" sheetId="14" r:id="rId14"/>
    <sheet name="ФП" sheetId="15" r:id="rId15"/>
    <sheet name="Санітарки" sheetId="16" r:id="rId16"/>
  </sheets>
  <definedNames>
    <definedName name="_xlnm._FilterDatabase" localSheetId="5" hidden="1">'Адмін.'!$S$1:$S$74</definedName>
    <definedName name="_xlnm._FilterDatabase" localSheetId="7" hidden="1">'Денихівська'!$S$2:$S$30</definedName>
    <definedName name="_xlnm._FilterDatabase" localSheetId="9" hidden="1">'Кашперівська'!$S$1:$S$23</definedName>
    <definedName name="_xlnm._FilterDatabase" localSheetId="8" hidden="1">'П''ятигірська'!$S$1:$S$23</definedName>
    <definedName name="_xlnm._FilterDatabase" localSheetId="15" hidden="1">'Санітарки'!$R$1:$R$117</definedName>
    <definedName name="_xlnm._FilterDatabase" localSheetId="6" hidden="1">'Тетіївська'!$S$1:$S$78</definedName>
    <definedName name="_xlnm._FilterDatabase" localSheetId="14" hidden="1">'ФП'!$S$1:$S$143</definedName>
    <definedName name="_xlnm.Print_Area" localSheetId="5">'Адмін.'!$A$1:$S$70</definedName>
    <definedName name="_xlnm.Print_Area" localSheetId="12">'Галайківська'!$A$1:$S$23</definedName>
    <definedName name="_xlnm.Print_Area" localSheetId="10">'Голодьківська'!$A$1:$S$23</definedName>
    <definedName name="_xlnm.Print_Area" localSheetId="11">'Горошківська'!$A$1:$S$22</definedName>
    <definedName name="_xlnm.Print_Area" localSheetId="7">'Денихівська'!$A$1:$S$30</definedName>
    <definedName name="_xlnm.Print_Area" localSheetId="9">'Кашперівська'!$A$1:$S$25</definedName>
    <definedName name="_xlnm.Print_Area" localSheetId="4">'л-дні'!$A$1:$O$30</definedName>
    <definedName name="_xlnm.Print_Area" localSheetId="1">'Лист2'!$A$1:$F$30</definedName>
    <definedName name="_xlnm.Print_Area" localSheetId="8">'П''ятигірська'!$A$1:$S$23</definedName>
    <definedName name="_xlnm.Print_Area" localSheetId="15">'Санітарки'!$A$1:$R$112</definedName>
    <definedName name="_xlnm.Print_Area" localSheetId="13">'Теліженецька'!$A$1:$S$24</definedName>
    <definedName name="_xlnm.Print_Area" localSheetId="6">'Тетіївська'!$A$1:$S$68</definedName>
    <definedName name="_xlnm.Print_Area" localSheetId="3">'Титулка'!$A$1:$S$28</definedName>
    <definedName name="_xlnm.Print_Area" localSheetId="14">'ФП'!$A$1:$S$138</definedName>
  </definedNames>
  <calcPr fullCalcOnLoad="1"/>
</workbook>
</file>

<file path=xl/comments7.xml><?xml version="1.0" encoding="utf-8"?>
<comments xmlns="http://schemas.openxmlformats.org/spreadsheetml/2006/main">
  <authors>
    <author>Віктор</author>
  </authors>
  <commentList>
    <comment ref="N20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1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3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4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6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163,90</t>
        </r>
      </text>
    </comment>
  </commentList>
</comments>
</file>

<file path=xl/comments8.xml><?xml version="1.0" encoding="utf-8"?>
<comments xmlns="http://schemas.openxmlformats.org/spreadsheetml/2006/main">
  <authors>
    <author>Віктор</author>
  </authors>
  <commentList>
    <comment ref="L8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не потрібно</t>
        </r>
      </text>
    </comment>
  </commentList>
</comments>
</file>

<file path=xl/sharedStrings.xml><?xml version="1.0" encoding="utf-8"?>
<sst xmlns="http://schemas.openxmlformats.org/spreadsheetml/2006/main" count="700" uniqueCount="277">
  <si>
    <t>№ пп</t>
  </si>
  <si>
    <t>Назва структурного підрозділу та посад</t>
  </si>
  <si>
    <t>К-сть штат. посад</t>
  </si>
  <si>
    <t>Фонд заробі тної плати на місяць (грн.)</t>
  </si>
  <si>
    <t>Розряд</t>
  </si>
  <si>
    <t>Завідув. І  старши нство</t>
  </si>
  <si>
    <t>Катего рія</t>
  </si>
  <si>
    <t>Шкід ливі- сть</t>
  </si>
  <si>
    <t>За санітар ний автомо біль</t>
  </si>
  <si>
    <t>За полік лініку</t>
  </si>
  <si>
    <t>(затверджені в межах чисельності)</t>
  </si>
  <si>
    <t>Посадов. оклад</t>
  </si>
  <si>
    <t>Поса дов. оклад</t>
  </si>
  <si>
    <t>Головний бухгалтер</t>
  </si>
  <si>
    <t xml:space="preserve">Економіст </t>
  </si>
  <si>
    <t xml:space="preserve">Розряд </t>
  </si>
  <si>
    <t>Фахівці</t>
  </si>
  <si>
    <t>Молодша медсестра</t>
  </si>
  <si>
    <t>Молодші:</t>
  </si>
  <si>
    <t>Фонд заробітної плати</t>
  </si>
  <si>
    <t>Лікарі</t>
  </si>
  <si>
    <t>Інші</t>
  </si>
  <si>
    <t>Молодші</t>
  </si>
  <si>
    <t>Лікар-терапевт</t>
  </si>
  <si>
    <t xml:space="preserve">                              </t>
  </si>
  <si>
    <t>лікарі</t>
  </si>
  <si>
    <t>молодші</t>
  </si>
  <si>
    <t>інші</t>
  </si>
  <si>
    <t xml:space="preserve">Акушерка </t>
  </si>
  <si>
    <t>С. Бурківці</t>
  </si>
  <si>
    <t xml:space="preserve">С. Скибенці </t>
  </si>
  <si>
    <t>С. Дзвеняче</t>
  </si>
  <si>
    <t xml:space="preserve">С. Степове </t>
  </si>
  <si>
    <t xml:space="preserve">С. Ненадиха </t>
  </si>
  <si>
    <t xml:space="preserve">С. Стадниця </t>
  </si>
  <si>
    <t xml:space="preserve">С. Тайниця </t>
  </si>
  <si>
    <t xml:space="preserve">С. Софіполь </t>
  </si>
  <si>
    <t xml:space="preserve">С. Михайлівка </t>
  </si>
  <si>
    <t xml:space="preserve">С. Клюки </t>
  </si>
  <si>
    <t xml:space="preserve">С. Дородка </t>
  </si>
  <si>
    <t xml:space="preserve">С. Дібрівка </t>
  </si>
  <si>
    <t xml:space="preserve">С. Високе </t>
  </si>
  <si>
    <t xml:space="preserve">С. Одайполе </t>
  </si>
  <si>
    <t xml:space="preserve">С. Хмелівка </t>
  </si>
  <si>
    <t xml:space="preserve">С. Кошів </t>
  </si>
  <si>
    <t xml:space="preserve">С. Черепинка </t>
  </si>
  <si>
    <t>С. Погреби</t>
  </si>
  <si>
    <t>С. Черепин</t>
  </si>
  <si>
    <t xml:space="preserve">Інші                  </t>
  </si>
  <si>
    <t>Інші:</t>
  </si>
  <si>
    <t>Лікарі: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</si>
  <si>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</si>
  <si>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</si>
  <si>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</si>
  <si>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</si>
  <si>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</si>
  <si>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</si>
  <si>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</si>
  <si>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</si>
  <si>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</si>
  <si>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</si>
  <si>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</si>
  <si>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</si>
  <si>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</si>
  <si>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 xml:space="preserve">Фахівці </t>
  </si>
  <si>
    <t>Штат од</t>
  </si>
  <si>
    <t>с.Денихівка</t>
  </si>
  <si>
    <t>Кашперівська амб заг. прак. – сім. мед.</t>
  </si>
  <si>
    <t>с.Кашперівка</t>
  </si>
  <si>
    <t xml:space="preserve">Горошківська амб. заг. практ.-сім. мед. </t>
  </si>
  <si>
    <t>с. Горошків</t>
  </si>
  <si>
    <t>с. Голодьки</t>
  </si>
  <si>
    <t>Титульний список</t>
  </si>
  <si>
    <t>"ЗАТВЕРДЖУЮ"</t>
  </si>
  <si>
    <t>С. Росішки</t>
  </si>
  <si>
    <t>До штатного розпису</t>
  </si>
  <si>
    <t xml:space="preserve">Фельдшер </t>
  </si>
  <si>
    <t>Економіст</t>
  </si>
  <si>
    <t>ВСЬОГО:</t>
  </si>
  <si>
    <t>с.П'ятигори</t>
  </si>
  <si>
    <t>За стаж роботи</t>
  </si>
  <si>
    <t>Секретар</t>
  </si>
  <si>
    <t>Підвищення посадового окладу (грн.)</t>
  </si>
  <si>
    <t>оперативне втручання</t>
  </si>
  <si>
    <t>посад. оклад з підвищеннями</t>
  </si>
  <si>
    <t>Надбавки (грн.)</t>
  </si>
  <si>
    <t>За тривалість роботи (участковість)</t>
  </si>
  <si>
    <t>Класність</t>
  </si>
  <si>
    <t>Доплати (грн)</t>
  </si>
  <si>
    <t>За шкідл. умови праці 12 %</t>
  </si>
  <si>
    <t>Оперативне втручання</t>
  </si>
  <si>
    <t>Шкід ливість</t>
  </si>
  <si>
    <t>Бухгалтер з обліку основних засобів</t>
  </si>
  <si>
    <t>Водій</t>
  </si>
  <si>
    <t>Столяр</t>
  </si>
  <si>
    <t>Прибиральник службових приміщень</t>
  </si>
  <si>
    <t>Районний педіатр</t>
  </si>
  <si>
    <t>Сестра медична ЗПСМ</t>
  </si>
  <si>
    <t>Двірник</t>
  </si>
  <si>
    <t>Денний стаціонар</t>
  </si>
  <si>
    <t>в т.ч.</t>
  </si>
  <si>
    <t>Молодша медична сестра (прибиральниця)</t>
  </si>
  <si>
    <t>м.Тетіїв (амбулаторія в складі ЦПМСД)</t>
  </si>
  <si>
    <t>Оператор котельні</t>
  </si>
  <si>
    <t>Інспектор ВК</t>
  </si>
  <si>
    <t>Бухгалтер з розрахунку з працівниками</t>
  </si>
  <si>
    <t>Бухгалтер з обліку медикаментів, господарських матеріалів</t>
  </si>
  <si>
    <t>с. Теліженці</t>
  </si>
  <si>
    <t xml:space="preserve">Денний стаціонар </t>
  </si>
  <si>
    <t xml:space="preserve">Сестра медична денного стаціонару </t>
  </si>
  <si>
    <t>Технік з обслуговування і поточного ремонту інженерних комунікацій</t>
  </si>
  <si>
    <t>Оператор ЕОМ</t>
  </si>
  <si>
    <t>Голодьківська  амб заг. прак. – сім. мед.</t>
  </si>
  <si>
    <t>с. Галайки</t>
  </si>
  <si>
    <t xml:space="preserve">Денихівська амб заг. прак. – сім. мед. </t>
  </si>
  <si>
    <t xml:space="preserve">Тетіївська амб заг. прак. – сім. мед. </t>
  </si>
  <si>
    <t>м.Тетіїв</t>
  </si>
  <si>
    <t>ПЛАН ЛІЖКА І ПЛАН ЛІЖКО-ДНІВ</t>
  </si>
  <si>
    <t>Ліжка</t>
  </si>
  <si>
    <t>Ліжко-дні</t>
  </si>
  <si>
    <t>ВСЬОГО</t>
  </si>
  <si>
    <t>класність</t>
  </si>
  <si>
    <t xml:space="preserve">                           </t>
  </si>
  <si>
    <t xml:space="preserve"> </t>
  </si>
  <si>
    <t xml:space="preserve">Оператор котельні </t>
  </si>
  <si>
    <r>
      <t>РОЗДІЛ І.</t>
    </r>
    <r>
      <rPr>
        <b/>
        <sz val="13"/>
        <rFont val="Times New Roman"/>
        <family val="1"/>
      </rPr>
      <t xml:space="preserve"> ШТАТИ  </t>
    </r>
    <r>
      <rPr>
        <b/>
        <sz val="13"/>
        <rFont val="Times New Roman"/>
        <family val="1"/>
      </rPr>
      <t>ПРАЦІВНИКІВ  АПАРАТУ  УПРАВЛІННЯ</t>
    </r>
  </si>
  <si>
    <t>Фахівці:</t>
  </si>
  <si>
    <t xml:space="preserve">Лікарі:               </t>
  </si>
  <si>
    <t>інші:</t>
  </si>
  <si>
    <t xml:space="preserve">Молодші </t>
  </si>
  <si>
    <t xml:space="preserve">Інші </t>
  </si>
  <si>
    <t>РАЗОМ :</t>
  </si>
  <si>
    <t>с.Денихівка (амбулаторія в складі ЦПМСД)</t>
  </si>
  <si>
    <t>с.Кашперівка (амбулаторія в складі ЦПМСД)</t>
  </si>
  <si>
    <t>с.Голодьки (амбулаторія в складі ЦПМСД)</t>
  </si>
  <si>
    <t>с.Горошків (амбулаторія в складі ЦПМСД)</t>
  </si>
  <si>
    <t>с.Галайки (амбулаторія в складі ЦПМСД)</t>
  </si>
  <si>
    <t>с.Теліженці (амбулаторія в складі ЦПМСД)</t>
  </si>
  <si>
    <t>Розрахунок ФОП</t>
  </si>
  <si>
    <t>Найменування</t>
  </si>
  <si>
    <t>Штати</t>
  </si>
  <si>
    <t>Посадовий оклад</t>
  </si>
  <si>
    <t>завідування /старшинство</t>
  </si>
  <si>
    <t>Участковіість/за тривалий період роботи</t>
  </si>
  <si>
    <t>категорія</t>
  </si>
  <si>
    <t>шкідливість</t>
  </si>
  <si>
    <t>за санітарний автомобіль</t>
  </si>
  <si>
    <t>інтенсивність</t>
  </si>
  <si>
    <t>Всього по штатному розпису</t>
  </si>
  <si>
    <t>Нічні</t>
  </si>
  <si>
    <t>Святкові, вихідні</t>
  </si>
  <si>
    <t>Ургенція</t>
  </si>
  <si>
    <t>Ненормований робочий день</t>
  </si>
  <si>
    <t>РАЗОМ</t>
  </si>
  <si>
    <t>Сестра медична ЛКК</t>
  </si>
  <si>
    <t>Лікар ЗПСМ</t>
  </si>
  <si>
    <t xml:space="preserve">Молодша медсестра </t>
  </si>
  <si>
    <t>Деззасоби</t>
  </si>
  <si>
    <t>за деззасоби</t>
  </si>
  <si>
    <t>Завідув. і  старшинство</t>
  </si>
  <si>
    <t xml:space="preserve">Сестра медична стаціонару маніпуляційна </t>
  </si>
  <si>
    <t xml:space="preserve">Лікар ЗПСМ </t>
  </si>
  <si>
    <t>Тетіївська МА ЗПСМ</t>
  </si>
  <si>
    <t>Денихівська МА ЗПСМ</t>
  </si>
  <si>
    <t>П'ятигірська МА ЗПСМ</t>
  </si>
  <si>
    <t>Кашперівська МА ЗПСМ</t>
  </si>
  <si>
    <t>Голодьківська МА ЗПСМ</t>
  </si>
  <si>
    <t>Горошківська МА ЗПСМ</t>
  </si>
  <si>
    <t>Галайківська МА ЗПСМ</t>
  </si>
  <si>
    <t>Теліженецька МА ЗПСМ</t>
  </si>
  <si>
    <t>Інженер з охорони праці (метролог)</t>
  </si>
  <si>
    <t>П`ятигірська МА ЗПСМ</t>
  </si>
  <si>
    <t>Сестра медична денного стаціонару</t>
  </si>
  <si>
    <t>Сестра медична  ЗПСМ</t>
  </si>
  <si>
    <t>с.П`ятигори (амбулаторія в складі ЦПМСД)</t>
  </si>
  <si>
    <t xml:space="preserve">фахівці </t>
  </si>
  <si>
    <t>В т. ч. спеціалісти немедики</t>
  </si>
  <si>
    <t>Галайківська амб. заг. практ.-сім. мед.</t>
  </si>
  <si>
    <t>Теліженецька амб. заг. практ.-сім. мед.</t>
  </si>
  <si>
    <t xml:space="preserve">П`ятигірська амб заг. прак. – сім. мед. </t>
  </si>
  <si>
    <t>Завідувач амбулаторією, лікар  ЗПСМ</t>
  </si>
  <si>
    <t xml:space="preserve">Лікар ЗПСМ  </t>
  </si>
  <si>
    <t xml:space="preserve">Зав. ФП  </t>
  </si>
  <si>
    <t>Лікар - терапевт</t>
  </si>
  <si>
    <t xml:space="preserve">Старша сестра медична </t>
  </si>
  <si>
    <t>Категорія</t>
  </si>
  <si>
    <t>Завідув. і  старши нство</t>
  </si>
  <si>
    <t>КП "КНП "ТЕТІЇВСЬКИЙ ЦПМСД"</t>
  </si>
  <si>
    <r>
      <t>Підрозділ І.</t>
    </r>
    <r>
      <rPr>
        <sz val="12"/>
        <rFont val="Times New Roman"/>
        <family val="1"/>
      </rPr>
      <t>Керівний склад центру ПМСД</t>
    </r>
  </si>
  <si>
    <r>
      <t>Підрозділ ІІ.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Інший адміністративно-управлінський та допоміжний персонал</t>
    </r>
  </si>
  <si>
    <t>Лікар-методист</t>
  </si>
  <si>
    <t>Сторож</t>
  </si>
  <si>
    <t>Сестра-господиня</t>
  </si>
  <si>
    <t xml:space="preserve">Водій </t>
  </si>
  <si>
    <t xml:space="preserve">Водій  </t>
  </si>
  <si>
    <t>Заклади, що знаходяться у комунальній власності Тетіївської міської ради</t>
  </si>
  <si>
    <r>
      <rPr>
        <b/>
        <i/>
        <u val="single"/>
        <sz val="12"/>
        <rFont val="Times New Roman"/>
        <family val="1"/>
      </rPr>
      <t>Підрозділ ІІІ.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Інформаційно-аналітичний кабінет</t>
    </r>
  </si>
  <si>
    <r>
      <t xml:space="preserve">Працівники апарату управління </t>
    </r>
    <r>
      <rPr>
        <b/>
        <sz val="12"/>
        <rFont val="Times New Roman"/>
        <family val="1"/>
      </rPr>
      <t>(керівний склад центру ПМСД, інший адміністративно управлінський та допоміжний персонал, інформаційно-аналітичний кабінет)</t>
    </r>
  </si>
  <si>
    <t>Заклади, що знаходяться в оперативному управлінні Тетіївської міської ради</t>
  </si>
  <si>
    <t>Працівники апарату управління</t>
  </si>
  <si>
    <t xml:space="preserve"> КП "КНП "ТЕТІЇВСЬКИЙ ЦПМСД"</t>
  </si>
  <si>
    <t>Головна сестра медична</t>
  </si>
  <si>
    <t>Завідувач господарства</t>
  </si>
  <si>
    <t>Технік з експлуатації мереж і споруд водопровідно-каналізаційного господарства</t>
  </si>
  <si>
    <t>Завідувач амбулатрією, лікар ЗПСМ</t>
  </si>
  <si>
    <t>Механік, диспетчер автотранспорту</t>
  </si>
  <si>
    <t>Коефіцієнт</t>
  </si>
  <si>
    <t>Мін.з/п</t>
  </si>
  <si>
    <t>Сума</t>
  </si>
  <si>
    <t xml:space="preserve">Лікар-педіатр </t>
  </si>
  <si>
    <t xml:space="preserve">Лікар-терапевт </t>
  </si>
  <si>
    <t>Лікар-інтерн</t>
  </si>
  <si>
    <t>Молодша медсестра (санітарка)</t>
  </si>
  <si>
    <t>Черговий кабінет</t>
  </si>
  <si>
    <t xml:space="preserve">Фельдшер виїздний </t>
  </si>
  <si>
    <t>фахівці</t>
  </si>
  <si>
    <t>ФАПи та ФП</t>
  </si>
  <si>
    <t>Кабінет ДОТС - стратегії</t>
  </si>
  <si>
    <t>Фахівець з державних закупівель</t>
  </si>
  <si>
    <t>Лікар-статистик</t>
  </si>
  <si>
    <t xml:space="preserve">Зав. ФП </t>
  </si>
  <si>
    <t>з місячним фондом заробітної плати за посадовими окладами</t>
  </si>
  <si>
    <t>(посада)</t>
  </si>
  <si>
    <t>М.П.</t>
  </si>
  <si>
    <t xml:space="preserve">                 (підпис)</t>
  </si>
  <si>
    <t>Галина Лучко</t>
  </si>
  <si>
    <t>Галина ЛУЧКО</t>
  </si>
  <si>
    <t>Тетяна ПРИЩЕПА</t>
  </si>
  <si>
    <t>Статистик медичний</t>
  </si>
  <si>
    <t>Реєстратор медичний електронної реєстратури</t>
  </si>
  <si>
    <t>Директор</t>
  </si>
  <si>
    <t>В.О.ДИРЕКТОРА</t>
  </si>
  <si>
    <t>_______________                    Олександр ПОЛІЩУК</t>
  </si>
  <si>
    <t>В.о. директора КП "КНП "ТЕТІЇВСЬКИЙ ЦПМСД"</t>
  </si>
  <si>
    <t>Олександр ПОЛІЩУК</t>
  </si>
  <si>
    <t>Інспектор з кадрів</t>
  </si>
  <si>
    <t>Постанова КМУ №2 від 12.01.2022р.</t>
  </si>
  <si>
    <t>Суміщення</t>
  </si>
  <si>
    <t>Постанова КМУ №2 від 02.12.20022 року</t>
  </si>
  <si>
    <t>Завідув. і старши нство</t>
  </si>
  <si>
    <t>Юрисконсульт</t>
  </si>
  <si>
    <t>С. Теліженці</t>
  </si>
  <si>
    <t>С. Горошків</t>
  </si>
  <si>
    <t>С. Голодьки</t>
  </si>
  <si>
    <t>За санітарний автомобіль</t>
  </si>
  <si>
    <t>Посадовий оклад з підвищеннями</t>
  </si>
  <si>
    <t>Шкідливість</t>
  </si>
  <si>
    <t>ФП</t>
  </si>
  <si>
    <t>Фахівець з цивільного захисту</t>
  </si>
  <si>
    <t>на 01.01.2023 рік по КП "КНП "Тетіївський ЦПМСД"</t>
  </si>
  <si>
    <t xml:space="preserve">01 січня 2023 року </t>
  </si>
  <si>
    <t>закладів охорони здоров`я Тетіївського ЦПМСД на 2023 рік з 01.01.2023 року</t>
  </si>
  <si>
    <t>2023 рік</t>
  </si>
  <si>
    <t>01.01.</t>
  </si>
  <si>
    <t>на 2023 рік</t>
  </si>
  <si>
    <t>Заступник директора з медичного обслуговування населення</t>
  </si>
  <si>
    <t>Адміністратор системи</t>
  </si>
  <si>
    <t>За шкідл. умови праці            12 %</t>
  </si>
  <si>
    <t xml:space="preserve">     "ПОГОДЖЕНО"</t>
  </si>
  <si>
    <t>ТЕТІЇВСЬКИЙ МІСЬКИЙ ГОЛОВА</t>
  </si>
  <si>
    <t>_______________                    Боглан БАЛАГУРА</t>
  </si>
  <si>
    <t>Психолог</t>
  </si>
  <si>
    <t>№ п/п</t>
  </si>
  <si>
    <t>Назва структурного підрозділу</t>
  </si>
  <si>
    <t>Різниця</t>
  </si>
  <si>
    <t>Разом</t>
  </si>
  <si>
    <t>КП КНП Тетіївський ЦПМСД</t>
  </si>
  <si>
    <t>Працівники апарату управління (керівний склад центру ПМСД, інший адміністративно управлінський та допоміжний персонал, інформаційно-аналітичний кабінет):</t>
  </si>
  <si>
    <t>середній медичний персонал</t>
  </si>
  <si>
    <t>інший персонал</t>
  </si>
  <si>
    <t>молодший медичний персонал</t>
  </si>
  <si>
    <t>Електрик</t>
  </si>
  <si>
    <t>Один мільйон п'ятсот вісімдесят чотири тисячі двісті двадцять сім гривень 33 копійки</t>
  </si>
  <si>
    <r>
      <t xml:space="preserve">штат в кількості   </t>
    </r>
    <r>
      <rPr>
        <u val="single"/>
        <sz val="12"/>
        <rFont val="Times New Roman"/>
        <family val="1"/>
      </rPr>
      <t>126,5</t>
    </r>
    <r>
      <rPr>
        <sz val="12"/>
        <rFont val="Times New Roman"/>
        <family val="1"/>
      </rPr>
      <t xml:space="preserve">   штатних одиниць</t>
    </r>
  </si>
  <si>
    <t>Додаток</t>
  </si>
  <si>
    <t>до рішення 18 сесії Тетіївської міської ради</t>
  </si>
  <si>
    <t>VIII скликання 28.02.2023 №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</si>
</sst>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0.00000"/>
    <numFmt numFmtId="214" formatCode="0.0000"/>
    <numFmt numFmtId="215" formatCode="_-* #,##0_-;\-* #,##0_-;_-* &quot;-&quot;??_-;_-@_-"/>
    <numFmt numFmtId="216" formatCode="[$€-2]\ ###,000_);[Red]\([$€-2]\ ###,000\)"/>
    <numFmt numFmtId="217" formatCode="_-* #,##0.0\ _г_р_н_._-;\-* #,##0.0\ _г_р_н_._-;_-* &quot;-&quot;??\ _г_р_н_._-;_-@_-"/>
    <numFmt numFmtId="218" formatCode="_-* #,##0\ _г_р_н_._-;\-* #,##0\ _г_р_н_._-;_-* &quot;-&quot;??\ _г_р_н_._-;_-@_-"/>
    <numFmt numFmtId="219" formatCode="_-* #,##0.000\ _г_р_н_._-;\-* #,##0.000\ _г_р_н_._-;_-* &quot;-&quot;??\ _г_р_н_._-;_-@_-"/>
    <numFmt numFmtId="220" formatCode="0.000000"/>
    <numFmt numFmtId="221" formatCode="_-* #,##0.0_р_._-;\-* #,##0.0_р_._-;_-* &quot;-&quot;?_р_._-;_-@_-"/>
    <numFmt numFmtId="222" formatCode="#,##0.00\ _г_р_н_."/>
    <numFmt numFmtId="223" formatCode="[$-422]d\ mmmm\ yyyy&quot; р.&quot;"/>
    <numFmt numFmtId="224" formatCode="#,##0.0"/>
    <numFmt numFmtId="225" formatCode="#,##0.000"/>
  </numFmts>
  <fonts count="7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i/>
      <sz val="14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0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9" fillId="0" borderId="0" xfId="0" applyFont="1" applyBorder="1" applyAlignment="1">
      <alignment horizontal="center" vertical="justify"/>
    </xf>
    <xf numFmtId="0" fontId="14" fillId="0" borderId="0" xfId="0" applyFont="1" applyAlignment="1">
      <alignment vertical="justify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vertical="justify"/>
    </xf>
    <xf numFmtId="0" fontId="9" fillId="0" borderId="0" xfId="0" applyFont="1" applyBorder="1" applyAlignment="1">
      <alignment vertical="justify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4" xfId="0" applyFont="1" applyBorder="1" applyAlignment="1">
      <alignment wrapText="1"/>
    </xf>
    <xf numFmtId="2" fontId="8" fillId="0" borderId="13" xfId="60" applyNumberFormat="1" applyFont="1" applyBorder="1" applyAlignment="1">
      <alignment horizontal="center" wrapText="1"/>
    </xf>
    <xf numFmtId="0" fontId="12" fillId="0" borderId="0" xfId="0" applyFont="1" applyBorder="1" applyAlignment="1">
      <alignment vertical="justify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 indent="15"/>
    </xf>
    <xf numFmtId="181" fontId="1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left" indent="10"/>
    </xf>
    <xf numFmtId="0" fontId="2" fillId="0" borderId="0" xfId="0" applyFont="1" applyAlignment="1">
      <alignment horizontal="left" indent="1"/>
    </xf>
    <xf numFmtId="2" fontId="7" fillId="0" borderId="0" xfId="0" applyNumberFormat="1" applyFont="1" applyAlignment="1">
      <alignment/>
    </xf>
    <xf numFmtId="0" fontId="21" fillId="0" borderId="0" xfId="0" applyFont="1" applyAlignment="1">
      <alignment horizontal="left" indent="7"/>
    </xf>
    <xf numFmtId="0" fontId="4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 vertical="justify" wrapText="1"/>
    </xf>
    <xf numFmtId="2" fontId="7" fillId="0" borderId="0" xfId="0" applyNumberFormat="1" applyFont="1" applyFill="1" applyAlignment="1">
      <alignment/>
    </xf>
    <xf numFmtId="207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207" fontId="23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07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 wrapText="1"/>
    </xf>
    <xf numFmtId="1" fontId="8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Border="1" applyAlignment="1">
      <alignment vertical="justify" wrapText="1"/>
    </xf>
    <xf numFmtId="207" fontId="8" fillId="0" borderId="0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top" wrapText="1"/>
    </xf>
    <xf numFmtId="207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07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2" fontId="12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9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207" fontId="9" fillId="0" borderId="0" xfId="0" applyNumberFormat="1" applyFont="1" applyBorder="1" applyAlignment="1">
      <alignment horizontal="center" vertical="justify"/>
    </xf>
    <xf numFmtId="207" fontId="14" fillId="0" borderId="0" xfId="0" applyNumberFormat="1" applyFont="1" applyAlignment="1">
      <alignment vertical="justify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left" indent="7"/>
    </xf>
    <xf numFmtId="0" fontId="23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11" fillId="0" borderId="11" xfId="0" applyFont="1" applyBorder="1" applyAlignment="1">
      <alignment wrapText="1"/>
    </xf>
    <xf numFmtId="1" fontId="5" fillId="0" borderId="13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vertical="justify"/>
    </xf>
    <xf numFmtId="2" fontId="18" fillId="0" borderId="0" xfId="0" applyNumberFormat="1" applyFont="1" applyAlignment="1">
      <alignment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07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207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207" fontId="1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207" fontId="1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 indent="10"/>
    </xf>
    <xf numFmtId="0" fontId="0" fillId="0" borderId="15" xfId="0" applyBorder="1" applyAlignment="1">
      <alignment vertical="justify"/>
    </xf>
    <xf numFmtId="0" fontId="0" fillId="0" borderId="15" xfId="0" applyBorder="1" applyAlignment="1">
      <alignment/>
    </xf>
    <xf numFmtId="2" fontId="8" fillId="32" borderId="11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/>
    </xf>
    <xf numFmtId="2" fontId="8" fillId="32" borderId="13" xfId="0" applyNumberFormat="1" applyFont="1" applyFill="1" applyBorder="1" applyAlignment="1">
      <alignment horizontal="center" wrapText="1"/>
    </xf>
    <xf numFmtId="2" fontId="8" fillId="32" borderId="13" xfId="60" applyNumberFormat="1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0" fillId="32" borderId="0" xfId="0" applyFill="1" applyAlignment="1">
      <alignment vertical="justify"/>
    </xf>
    <xf numFmtId="0" fontId="8" fillId="32" borderId="13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 wrapText="1"/>
    </xf>
    <xf numFmtId="207" fontId="0" fillId="32" borderId="0" xfId="0" applyNumberFormat="1" applyFill="1" applyAlignment="1">
      <alignment/>
    </xf>
    <xf numFmtId="2" fontId="8" fillId="32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wrapText="1"/>
    </xf>
    <xf numFmtId="0" fontId="3" fillId="0" borderId="0" xfId="0" applyFont="1" applyAlignment="1">
      <alignment horizontal="left" indent="1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181" fontId="8" fillId="0" borderId="13" xfId="6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9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07" fontId="1" fillId="0" borderId="13" xfId="0" applyNumberFormat="1" applyFont="1" applyBorder="1" applyAlignment="1">
      <alignment horizontal="center" wrapText="1"/>
    </xf>
    <xf numFmtId="207" fontId="1" fillId="0" borderId="10" xfId="0" applyNumberFormat="1" applyFont="1" applyBorder="1" applyAlignment="1">
      <alignment horizontal="center" wrapText="1"/>
    </xf>
    <xf numFmtId="207" fontId="31" fillId="0" borderId="13" xfId="0" applyNumberFormat="1" applyFont="1" applyBorder="1" applyAlignment="1">
      <alignment horizontal="center" wrapText="1"/>
    </xf>
    <xf numFmtId="207" fontId="23" fillId="0" borderId="13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181" fontId="5" fillId="33" borderId="0" xfId="6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6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207" fontId="8" fillId="32" borderId="1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207" fontId="8" fillId="0" borderId="13" xfId="0" applyNumberFormat="1" applyFont="1" applyBorder="1" applyAlignment="1">
      <alignment horizontal="center" vertical="center" wrapText="1"/>
    </xf>
    <xf numFmtId="207" fontId="8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6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32" borderId="12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207" fontId="8" fillId="32" borderId="13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vertical="center"/>
    </xf>
    <xf numFmtId="4" fontId="8" fillId="32" borderId="13" xfId="6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207" fontId="8" fillId="0" borderId="13" xfId="0" applyNumberFormat="1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207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top" wrapText="1"/>
    </xf>
    <xf numFmtId="0" fontId="8" fillId="32" borderId="22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horizontal="center" vertical="center" wrapText="1"/>
    </xf>
    <xf numFmtId="1" fontId="8" fillId="32" borderId="17" xfId="0" applyNumberFormat="1" applyFont="1" applyFill="1" applyBorder="1" applyAlignment="1">
      <alignment horizontal="center" vertical="center" wrapText="1"/>
    </xf>
    <xf numFmtId="2" fontId="0" fillId="32" borderId="13" xfId="0" applyNumberFormat="1" applyFill="1" applyBorder="1" applyAlignment="1">
      <alignment/>
    </xf>
    <xf numFmtId="0" fontId="8" fillId="32" borderId="13" xfId="0" applyFont="1" applyFill="1" applyBorder="1" applyAlignment="1">
      <alignment horizontal="center" wrapText="1"/>
    </xf>
    <xf numFmtId="207" fontId="8" fillId="32" borderId="13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8" fillId="0" borderId="0" xfId="0" applyFont="1" applyBorder="1" applyAlignment="1">
      <alignment/>
    </xf>
    <xf numFmtId="0" fontId="8" fillId="0" borderId="0" xfId="0" applyFont="1" applyAlignment="1">
      <alignment vertical="justify"/>
    </xf>
    <xf numFmtId="0" fontId="2" fillId="32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right" wrapText="1"/>
    </xf>
    <xf numFmtId="0" fontId="12" fillId="32" borderId="0" xfId="0" applyFont="1" applyFill="1" applyAlignment="1">
      <alignment vertical="justify"/>
    </xf>
    <xf numFmtId="0" fontId="12" fillId="32" borderId="0" xfId="0" applyFont="1" applyFill="1" applyAlignment="1">
      <alignment/>
    </xf>
    <xf numFmtId="0" fontId="5" fillId="0" borderId="22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0" fillId="32" borderId="0" xfId="0" applyFont="1" applyFill="1" applyAlignment="1">
      <alignment/>
    </xf>
    <xf numFmtId="0" fontId="8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3" fontId="8" fillId="34" borderId="17" xfId="0" applyNumberFormat="1" applyFont="1" applyFill="1" applyBorder="1" applyAlignment="1">
      <alignment horizontal="center" vertical="center" wrapText="1"/>
    </xf>
    <xf numFmtId="207" fontId="8" fillId="34" borderId="17" xfId="0" applyNumberFormat="1" applyFont="1" applyFill="1" applyBorder="1" applyAlignment="1">
      <alignment horizontal="center" vertical="center" wrapText="1"/>
    </xf>
    <xf numFmtId="207" fontId="36" fillId="34" borderId="17" xfId="0" applyNumberFormat="1" applyFont="1" applyFill="1" applyBorder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wrapText="1"/>
    </xf>
    <xf numFmtId="0" fontId="8" fillId="34" borderId="17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shrinkToFit="1"/>
    </xf>
    <xf numFmtId="20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32" borderId="17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8" fillId="32" borderId="17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wrapText="1"/>
    </xf>
    <xf numFmtId="0" fontId="5" fillId="32" borderId="17" xfId="0" applyFont="1" applyFill="1" applyBorder="1" applyAlignment="1">
      <alignment horizontal="right" vertical="center" wrapText="1"/>
    </xf>
    <xf numFmtId="207" fontId="5" fillId="32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left"/>
    </xf>
    <xf numFmtId="207" fontId="1" fillId="32" borderId="10" xfId="0" applyNumberFormat="1" applyFont="1" applyFill="1" applyBorder="1" applyAlignment="1">
      <alignment horizontal="center" wrapText="1"/>
    </xf>
    <xf numFmtId="4" fontId="30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207" fontId="1" fillId="32" borderId="11" xfId="0" applyNumberFormat="1" applyFont="1" applyFill="1" applyBorder="1" applyAlignment="1">
      <alignment horizontal="center" wrapText="1"/>
    </xf>
    <xf numFmtId="4" fontId="1" fillId="32" borderId="11" xfId="0" applyNumberFormat="1" applyFont="1" applyFill="1" applyBorder="1" applyAlignment="1">
      <alignment horizontal="center" wrapText="1"/>
    </xf>
    <xf numFmtId="4" fontId="30" fillId="32" borderId="11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center" wrapText="1"/>
    </xf>
    <xf numFmtId="4" fontId="1" fillId="32" borderId="13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207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207" fontId="23" fillId="33" borderId="10" xfId="0" applyNumberFormat="1" applyFont="1" applyFill="1" applyBorder="1" applyAlignment="1">
      <alignment horizontal="center" wrapText="1"/>
    </xf>
    <xf numFmtId="4" fontId="23" fillId="33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left"/>
    </xf>
    <xf numFmtId="207" fontId="2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2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207" fontId="2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2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207" fontId="1" fillId="32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right" wrapText="1"/>
    </xf>
    <xf numFmtId="4" fontId="6" fillId="32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" fontId="31" fillId="0" borderId="13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4" fontId="31" fillId="0" borderId="10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207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 wrapText="1"/>
    </xf>
    <xf numFmtId="4" fontId="1" fillId="32" borderId="10" xfId="6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4" fontId="23" fillId="0" borderId="10" xfId="6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07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4" fontId="31" fillId="0" borderId="10" xfId="6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0" fillId="0" borderId="0" xfId="0" applyFont="1" applyAlignment="1">
      <alignment horizontal="left"/>
    </xf>
    <xf numFmtId="4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horizontal="center"/>
    </xf>
    <xf numFmtId="4" fontId="40" fillId="0" borderId="0" xfId="60" applyNumberFormat="1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2" fontId="33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 horizontal="center"/>
    </xf>
    <xf numFmtId="207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207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right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 horizontal="center" wrapText="1"/>
    </xf>
    <xf numFmtId="4" fontId="8" fillId="0" borderId="13" xfId="60" applyNumberFormat="1" applyFont="1" applyBorder="1" applyAlignment="1">
      <alignment horizontal="center" wrapText="1"/>
    </xf>
    <xf numFmtId="0" fontId="8" fillId="32" borderId="10" xfId="0" applyFont="1" applyFill="1" applyBorder="1" applyAlignment="1">
      <alignment horizontal="right" wrapText="1"/>
    </xf>
    <xf numFmtId="0" fontId="8" fillId="32" borderId="13" xfId="0" applyFont="1" applyFill="1" applyBorder="1" applyAlignment="1">
      <alignment wrapText="1"/>
    </xf>
    <xf numFmtId="4" fontId="8" fillId="32" borderId="13" xfId="0" applyNumberFormat="1" applyFont="1" applyFill="1" applyBorder="1" applyAlignment="1">
      <alignment horizontal="center" wrapText="1"/>
    </xf>
    <xf numFmtId="4" fontId="12" fillId="32" borderId="10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 wrapText="1"/>
    </xf>
    <xf numFmtId="4" fontId="8" fillId="32" borderId="13" xfId="60" applyNumberFormat="1" applyFont="1" applyFill="1" applyBorder="1" applyAlignment="1">
      <alignment horizontal="center" wrapText="1"/>
    </xf>
    <xf numFmtId="207" fontId="8" fillId="0" borderId="1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207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207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207" fontId="11" fillId="0" borderId="11" xfId="0" applyNumberFormat="1" applyFont="1" applyBorder="1" applyAlignment="1">
      <alignment horizontal="center" wrapText="1"/>
    </xf>
    <xf numFmtId="2" fontId="32" fillId="0" borderId="11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center" wrapText="1"/>
    </xf>
    <xf numFmtId="207" fontId="11" fillId="0" borderId="13" xfId="0" applyNumberFormat="1" applyFont="1" applyBorder="1" applyAlignment="1">
      <alignment horizontal="center" wrapText="1"/>
    </xf>
    <xf numFmtId="2" fontId="32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207" fontId="11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wrapText="1"/>
    </xf>
    <xf numFmtId="4" fontId="11" fillId="0" borderId="10" xfId="60" applyNumberFormat="1" applyFont="1" applyBorder="1" applyAlignment="1">
      <alignment horizontal="center" wrapText="1"/>
    </xf>
    <xf numFmtId="0" fontId="8" fillId="32" borderId="12" xfId="0" applyFont="1" applyFill="1" applyBorder="1" applyAlignment="1">
      <alignment horizontal="right" wrapText="1"/>
    </xf>
    <xf numFmtId="4" fontId="0" fillId="32" borderId="10" xfId="0" applyNumberFormat="1" applyFill="1" applyBorder="1" applyAlignment="1">
      <alignment/>
    </xf>
    <xf numFmtId="4" fontId="8" fillId="32" borderId="10" xfId="0" applyNumberFormat="1" applyFont="1" applyFill="1" applyBorder="1" applyAlignment="1">
      <alignment horizontal="center" wrapText="1"/>
    </xf>
    <xf numFmtId="0" fontId="11" fillId="32" borderId="13" xfId="0" applyFont="1" applyFill="1" applyBorder="1" applyAlignment="1">
      <alignment wrapText="1"/>
    </xf>
    <xf numFmtId="207" fontId="11" fillId="32" borderId="10" xfId="0" applyNumberFormat="1" applyFont="1" applyFill="1" applyBorder="1" applyAlignment="1">
      <alignment horizontal="center" wrapText="1"/>
    </xf>
    <xf numFmtId="4" fontId="32" fillId="32" borderId="10" xfId="0" applyNumberFormat="1" applyFont="1" applyFill="1" applyBorder="1" applyAlignment="1">
      <alignment horizontal="center" wrapText="1"/>
    </xf>
    <xf numFmtId="4" fontId="32" fillId="32" borderId="13" xfId="0" applyNumberFormat="1" applyFont="1" applyFill="1" applyBorder="1" applyAlignment="1">
      <alignment horizontal="center" wrapText="1"/>
    </xf>
    <xf numFmtId="4" fontId="11" fillId="32" borderId="10" xfId="6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right" wrapText="1"/>
    </xf>
    <xf numFmtId="2" fontId="32" fillId="0" borderId="13" xfId="0" applyNumberFormat="1" applyFont="1" applyBorder="1" applyAlignment="1">
      <alignment wrapText="1"/>
    </xf>
    <xf numFmtId="4" fontId="32" fillId="0" borderId="13" xfId="0" applyNumberFormat="1" applyFont="1" applyBorder="1" applyAlignment="1">
      <alignment horizontal="center" wrapText="1"/>
    </xf>
    <xf numFmtId="4" fontId="32" fillId="0" borderId="13" xfId="0" applyNumberFormat="1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207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207" fontId="8" fillId="0" borderId="13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2" fontId="12" fillId="0" borderId="0" xfId="0" applyNumberFormat="1" applyFont="1" applyAlignment="1">
      <alignment/>
    </xf>
    <xf numFmtId="0" fontId="5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07" fontId="8" fillId="32" borderId="11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4" fontId="1" fillId="32" borderId="10" xfId="0" applyNumberFormat="1" applyFont="1" applyFill="1" applyBorder="1" applyAlignment="1">
      <alignment shrinkToFit="1"/>
    </xf>
    <xf numFmtId="4" fontId="1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34" borderId="10" xfId="0" applyNumberFormat="1" applyFont="1" applyFill="1" applyBorder="1" applyAlignment="1">
      <alignment horizontal="center" shrinkToFit="1"/>
    </xf>
    <xf numFmtId="207" fontId="1" fillId="34" borderId="10" xfId="0" applyNumberFormat="1" applyFont="1" applyFill="1" applyBorder="1" applyAlignment="1">
      <alignment horizontal="center" shrinkToFit="1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horizontal="left"/>
    </xf>
    <xf numFmtId="0" fontId="4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4" fontId="1" fillId="32" borderId="10" xfId="0" applyNumberFormat="1" applyFont="1" applyFill="1" applyBorder="1" applyAlignment="1">
      <alignment/>
    </xf>
    <xf numFmtId="0" fontId="77" fillId="32" borderId="10" xfId="0" applyFont="1" applyFill="1" applyBorder="1" applyAlignment="1">
      <alignment horizontal="center"/>
    </xf>
    <xf numFmtId="207" fontId="1" fillId="32" borderId="10" xfId="0" applyNumberFormat="1" applyFont="1" applyFill="1" applyBorder="1" applyAlignment="1">
      <alignment horizontal="center" shrinkToFit="1"/>
    </xf>
    <xf numFmtId="2" fontId="1" fillId="32" borderId="10" xfId="0" applyNumberFormat="1" applyFont="1" applyFill="1" applyBorder="1" applyAlignment="1">
      <alignment horizontal="center" shrinkToFit="1"/>
    </xf>
    <xf numFmtId="207" fontId="2" fillId="32" borderId="10" xfId="0" applyNumberFormat="1" applyFont="1" applyFill="1" applyBorder="1" applyAlignment="1">
      <alignment horizontal="center" shrinkToFit="1"/>
    </xf>
    <xf numFmtId="207" fontId="36" fillId="32" borderId="17" xfId="0" applyNumberFormat="1" applyFont="1" applyFill="1" applyBorder="1" applyAlignment="1">
      <alignment horizontal="center" vertical="center" wrapText="1"/>
    </xf>
    <xf numFmtId="207" fontId="37" fillId="32" borderId="17" xfId="0" applyNumberFormat="1" applyFont="1" applyFill="1" applyBorder="1" applyAlignment="1">
      <alignment horizontal="center" vertical="center" wrapText="1"/>
    </xf>
    <xf numFmtId="2" fontId="5" fillId="32" borderId="17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Alignment="1">
      <alignment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12" fillId="34" borderId="0" xfId="0" applyFont="1" applyFill="1" applyAlignment="1">
      <alignment vertical="justify"/>
    </xf>
    <xf numFmtId="0" fontId="5" fillId="34" borderId="22" xfId="0" applyFont="1" applyFill="1" applyBorder="1" applyAlignment="1">
      <alignment wrapText="1"/>
    </xf>
    <xf numFmtId="2" fontId="12" fillId="34" borderId="0" xfId="0" applyNumberFormat="1" applyFont="1" applyFill="1" applyAlignment="1">
      <alignment vertical="justify"/>
    </xf>
    <xf numFmtId="207" fontId="12" fillId="34" borderId="0" xfId="0" applyNumberFormat="1" applyFont="1" applyFill="1" applyAlignment="1">
      <alignment vertical="justify"/>
    </xf>
    <xf numFmtId="0" fontId="12" fillId="34" borderId="0" xfId="0" applyFont="1" applyFill="1" applyAlignment="1">
      <alignment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shrinkToFit="1"/>
    </xf>
    <xf numFmtId="0" fontId="5" fillId="32" borderId="17" xfId="0" applyFont="1" applyFill="1" applyBorder="1" applyAlignment="1">
      <alignment horizontal="center" vertical="center" wrapText="1"/>
    </xf>
    <xf numFmtId="1" fontId="5" fillId="32" borderId="17" xfId="0" applyNumberFormat="1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24" fontId="5" fillId="32" borderId="17" xfId="0" applyNumberFormat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07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0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207" fontId="5" fillId="32" borderId="26" xfId="0" applyNumberFormat="1" applyFont="1" applyFill="1" applyBorder="1" applyAlignment="1">
      <alignment horizontal="center" vertical="center" wrapText="1"/>
    </xf>
    <xf numFmtId="207" fontId="5" fillId="32" borderId="27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2" fontId="41" fillId="32" borderId="0" xfId="0" applyNumberFormat="1" applyFont="1" applyFill="1" applyAlignment="1">
      <alignment horizontal="right"/>
    </xf>
    <xf numFmtId="0" fontId="29" fillId="0" borderId="15" xfId="0" applyFont="1" applyBorder="1" applyAlignment="1">
      <alignment horizontal="center"/>
    </xf>
    <xf numFmtId="0" fontId="8" fillId="0" borderId="30" xfId="0" applyFont="1" applyBorder="1" applyAlignment="1">
      <alignment horizontal="left" vertical="justify" wrapText="1"/>
    </xf>
    <xf numFmtId="0" fontId="8" fillId="0" borderId="16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8" fillId="32" borderId="30" xfId="0" applyFont="1" applyFill="1" applyBorder="1" applyAlignment="1">
      <alignment horizontal="center" vertical="justify" wrapText="1"/>
    </xf>
    <xf numFmtId="0" fontId="8" fillId="32" borderId="16" xfId="0" applyFont="1" applyFill="1" applyBorder="1" applyAlignment="1">
      <alignment horizontal="center" vertical="justify" wrapText="1"/>
    </xf>
    <xf numFmtId="0" fontId="8" fillId="32" borderId="11" xfId="0" applyFont="1" applyFill="1" applyBorder="1" applyAlignment="1">
      <alignment horizontal="center" vertical="justify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3" fontId="8" fillId="32" borderId="30" xfId="0" applyNumberFormat="1" applyFont="1" applyFill="1" applyBorder="1" applyAlignment="1">
      <alignment horizontal="center" vertical="justify" wrapText="1"/>
    </xf>
    <xf numFmtId="3" fontId="8" fillId="32" borderId="16" xfId="0" applyNumberFormat="1" applyFont="1" applyFill="1" applyBorder="1" applyAlignment="1">
      <alignment horizontal="center" vertical="justify" wrapText="1"/>
    </xf>
    <xf numFmtId="3" fontId="8" fillId="32" borderId="11" xfId="0" applyNumberFormat="1" applyFont="1" applyFill="1" applyBorder="1" applyAlignment="1">
      <alignment horizontal="center" vertical="justify" wrapText="1"/>
    </xf>
    <xf numFmtId="0" fontId="8" fillId="0" borderId="30" xfId="0" applyFont="1" applyBorder="1" applyAlignment="1">
      <alignment horizontal="center" vertical="justify" wrapText="1"/>
    </xf>
    <xf numFmtId="0" fontId="8" fillId="0" borderId="16" xfId="0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29" fillId="0" borderId="0" xfId="0" applyFont="1" applyAlignment="1">
      <alignment horizontal="center" wrapText="1"/>
    </xf>
    <xf numFmtId="0" fontId="5" fillId="32" borderId="30" xfId="0" applyFont="1" applyFill="1" applyBorder="1" applyAlignment="1">
      <alignment horizontal="center" vertical="justify" wrapText="1"/>
    </xf>
    <xf numFmtId="0" fontId="5" fillId="32" borderId="16" xfId="0" applyFont="1" applyFill="1" applyBorder="1" applyAlignment="1">
      <alignment horizontal="center" vertical="justify" wrapText="1"/>
    </xf>
    <xf numFmtId="0" fontId="5" fillId="32" borderId="11" xfId="0" applyFont="1" applyFill="1" applyBorder="1" applyAlignment="1">
      <alignment horizontal="center" vertical="justify" wrapText="1"/>
    </xf>
    <xf numFmtId="0" fontId="8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top" wrapText="1"/>
    </xf>
    <xf numFmtId="207" fontId="8" fillId="0" borderId="0" xfId="60" applyNumberFormat="1" applyFont="1" applyBorder="1" applyAlignment="1">
      <alignment horizontal="left" vertical="top" wrapText="1"/>
    </xf>
    <xf numFmtId="207" fontId="5" fillId="0" borderId="0" xfId="0" applyNumberFormat="1" applyFont="1" applyBorder="1" applyAlignment="1">
      <alignment horizontal="center" vertical="top" wrapText="1"/>
    </xf>
    <xf numFmtId="3" fontId="5" fillId="32" borderId="30" xfId="0" applyNumberFormat="1" applyFont="1" applyFill="1" applyBorder="1" applyAlignment="1">
      <alignment horizontal="center" vertical="justify" wrapText="1"/>
    </xf>
    <xf numFmtId="3" fontId="5" fillId="32" borderId="16" xfId="0" applyNumberFormat="1" applyFont="1" applyFill="1" applyBorder="1" applyAlignment="1">
      <alignment horizontal="center" vertical="justify" wrapText="1"/>
    </xf>
    <xf numFmtId="3" fontId="5" fillId="32" borderId="11" xfId="0" applyNumberFormat="1" applyFont="1" applyFill="1" applyBorder="1" applyAlignment="1">
      <alignment horizontal="center" vertical="justify" wrapText="1"/>
    </xf>
    <xf numFmtId="0" fontId="5" fillId="0" borderId="30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3" fillId="0" borderId="3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207" fontId="3" fillId="0" borderId="20" xfId="0" applyNumberFormat="1" applyFont="1" applyBorder="1" applyAlignment="1">
      <alignment horizontal="center" vertical="top" wrapText="1"/>
    </xf>
    <xf numFmtId="207" fontId="3" fillId="0" borderId="1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justify"/>
    </xf>
    <xf numFmtId="207" fontId="4" fillId="0" borderId="20" xfId="0" applyNumberFormat="1" applyFont="1" applyBorder="1" applyAlignment="1">
      <alignment horizontal="center" vertical="top" wrapText="1"/>
    </xf>
    <xf numFmtId="207" fontId="4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justify" wrapText="1"/>
    </xf>
    <xf numFmtId="0" fontId="14" fillId="0" borderId="0" xfId="0" applyFont="1" applyAlignment="1">
      <alignment horizontal="center" vertical="justify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view="pageBreakPreview" zoomScale="93" zoomScaleSheetLayoutView="93" zoomScalePageLayoutView="0" workbookViewId="0" topLeftCell="A1">
      <selection activeCell="D9" sqref="D9"/>
    </sheetView>
  </sheetViews>
  <sheetFormatPr defaultColWidth="9.00390625" defaultRowHeight="12.75"/>
  <cols>
    <col min="1" max="1" width="7.625" style="0" customWidth="1"/>
    <col min="2" max="2" width="65.125" style="0" customWidth="1"/>
    <col min="3" max="3" width="10.25390625" style="0" customWidth="1"/>
    <col min="4" max="4" width="10.125" style="0" customWidth="1"/>
    <col min="5" max="5" width="11.25390625" style="0" customWidth="1"/>
  </cols>
  <sheetData>
    <row r="1" ht="1.5" customHeight="1"/>
    <row r="2" spans="1:5" ht="18" customHeight="1">
      <c r="A2" s="549" t="s">
        <v>266</v>
      </c>
      <c r="B2" s="549"/>
      <c r="C2" s="549"/>
      <c r="D2" s="549"/>
      <c r="E2" s="549"/>
    </row>
    <row r="3" ht="1.5" customHeight="1"/>
    <row r="4" spans="1:5" ht="18" customHeight="1">
      <c r="A4" s="540" t="s">
        <v>262</v>
      </c>
      <c r="B4" s="540" t="s">
        <v>263</v>
      </c>
      <c r="C4" s="540">
        <v>2022</v>
      </c>
      <c r="D4" s="540">
        <v>2023</v>
      </c>
      <c r="E4" s="540" t="s">
        <v>264</v>
      </c>
    </row>
    <row r="5" spans="1:5" ht="52.5" customHeight="1">
      <c r="A5" s="543">
        <v>1</v>
      </c>
      <c r="B5" s="545" t="s">
        <v>267</v>
      </c>
      <c r="C5" s="544">
        <f>C6+C7+C8</f>
        <v>21</v>
      </c>
      <c r="D5" s="544">
        <f>D6+D7+D8</f>
        <v>19</v>
      </c>
      <c r="E5" s="544">
        <f>E6+E7+E8</f>
        <v>2</v>
      </c>
    </row>
    <row r="6" spans="1:5" ht="18" customHeight="1">
      <c r="A6" s="539"/>
      <c r="B6" s="538" t="s">
        <v>25</v>
      </c>
      <c r="C6" s="542">
        <f>1.75</f>
        <v>1.75</v>
      </c>
      <c r="D6" s="542">
        <f>1.75</f>
        <v>1.75</v>
      </c>
      <c r="E6" s="541">
        <f>C6-D6</f>
        <v>0</v>
      </c>
    </row>
    <row r="7" spans="1:5" ht="18" customHeight="1">
      <c r="A7" s="539"/>
      <c r="B7" s="538" t="s">
        <v>268</v>
      </c>
      <c r="C7" s="541">
        <f>2</f>
        <v>2</v>
      </c>
      <c r="D7" s="541">
        <f>2</f>
        <v>2</v>
      </c>
      <c r="E7" s="541">
        <f>C7-D7</f>
        <v>0</v>
      </c>
    </row>
    <row r="8" spans="1:5" ht="18" customHeight="1">
      <c r="A8" s="539"/>
      <c r="B8" s="538" t="s">
        <v>269</v>
      </c>
      <c r="C8" s="542">
        <f>17.25</f>
        <v>17.25</v>
      </c>
      <c r="D8" s="542">
        <f>17.25-2</f>
        <v>15.25</v>
      </c>
      <c r="E8" s="541">
        <f>C8-D8</f>
        <v>2</v>
      </c>
    </row>
    <row r="9" spans="1:5" ht="18" customHeight="1">
      <c r="A9" s="543">
        <v>2</v>
      </c>
      <c r="B9" s="543" t="s">
        <v>115</v>
      </c>
      <c r="C9" s="544">
        <f>C10+C11+C12+C13</f>
        <v>43</v>
      </c>
      <c r="D9" s="544">
        <f>D10+D11+D12+D13</f>
        <v>41.5</v>
      </c>
      <c r="E9" s="544">
        <f>E10+E11+E12+E13</f>
        <v>1.5</v>
      </c>
    </row>
    <row r="10" spans="1:5" ht="18" customHeight="1">
      <c r="A10" s="539"/>
      <c r="B10" s="538" t="s">
        <v>25</v>
      </c>
      <c r="C10" s="541">
        <f>11.5</f>
        <v>11.5</v>
      </c>
      <c r="D10" s="541">
        <f>11.5</f>
        <v>11.5</v>
      </c>
      <c r="E10" s="541">
        <f>C10-D10</f>
        <v>0</v>
      </c>
    </row>
    <row r="11" spans="1:5" ht="18" customHeight="1">
      <c r="A11" s="539"/>
      <c r="B11" s="538" t="s">
        <v>268</v>
      </c>
      <c r="C11" s="542">
        <f>16.25+4.5</f>
        <v>20.75</v>
      </c>
      <c r="D11" s="542">
        <f>16.25+4.5</f>
        <v>20.75</v>
      </c>
      <c r="E11" s="541">
        <f>C11-D11</f>
        <v>0</v>
      </c>
    </row>
    <row r="12" spans="1:5" ht="18" customHeight="1">
      <c r="A12" s="539"/>
      <c r="B12" s="538" t="s">
        <v>270</v>
      </c>
      <c r="C12" s="541">
        <f>3</f>
        <v>3</v>
      </c>
      <c r="D12" s="541">
        <f>3</f>
        <v>3</v>
      </c>
      <c r="E12" s="541">
        <f>C12-D12</f>
        <v>0</v>
      </c>
    </row>
    <row r="13" spans="1:5" ht="18" customHeight="1">
      <c r="A13" s="539"/>
      <c r="B13" s="538" t="s">
        <v>269</v>
      </c>
      <c r="C13" s="542">
        <f>2+1+4.5+0.25</f>
        <v>7.75</v>
      </c>
      <c r="D13" s="542">
        <f>C13-1.5</f>
        <v>6.25</v>
      </c>
      <c r="E13" s="541">
        <f>C13-D13</f>
        <v>1.5</v>
      </c>
    </row>
    <row r="14" spans="1:5" ht="18" customHeight="1">
      <c r="A14" s="543">
        <v>3</v>
      </c>
      <c r="B14" s="543" t="str">
        <f>Титулка!B14</f>
        <v>Голодьківська  амб заг. прак. – сім. мед.</v>
      </c>
      <c r="C14" s="544">
        <f>C15+C16+C17</f>
        <v>2.5</v>
      </c>
      <c r="D14" s="544">
        <f>D15+D16+D17</f>
        <v>2</v>
      </c>
      <c r="E14" s="544">
        <f>E15+E16+E17</f>
        <v>0.5</v>
      </c>
    </row>
    <row r="15" spans="1:5" ht="18" customHeight="1">
      <c r="A15" s="543"/>
      <c r="B15" s="538" t="s">
        <v>268</v>
      </c>
      <c r="C15" s="541">
        <f>1</f>
        <v>1</v>
      </c>
      <c r="D15" s="541">
        <f>1</f>
        <v>1</v>
      </c>
      <c r="E15" s="541">
        <f>C15-D15</f>
        <v>0</v>
      </c>
    </row>
    <row r="16" spans="1:5" ht="18" customHeight="1">
      <c r="A16" s="543"/>
      <c r="B16" s="538" t="s">
        <v>270</v>
      </c>
      <c r="C16" s="541">
        <f>0.5</f>
        <v>0.5</v>
      </c>
      <c r="D16" s="541">
        <f>0.5</f>
        <v>0.5</v>
      </c>
      <c r="E16" s="541">
        <f>C16-D16</f>
        <v>0</v>
      </c>
    </row>
    <row r="17" spans="1:5" ht="18" customHeight="1">
      <c r="A17" s="543"/>
      <c r="B17" s="538" t="s">
        <v>269</v>
      </c>
      <c r="C17" s="541">
        <f>1</f>
        <v>1</v>
      </c>
      <c r="D17" s="541">
        <f>0.5</f>
        <v>0.5</v>
      </c>
      <c r="E17" s="541">
        <f>C17-D17</f>
        <v>0.5</v>
      </c>
    </row>
    <row r="18" spans="1:5" ht="18" customHeight="1">
      <c r="A18" s="543">
        <v>4</v>
      </c>
      <c r="B18" s="543" t="str">
        <f>Титулка!B15</f>
        <v>Горошківська амб. заг. практ.-сім. мед. </v>
      </c>
      <c r="C18" s="544">
        <f>C19+C20+C22+C21</f>
        <v>4.5</v>
      </c>
      <c r="D18" s="544">
        <f>D19+D20+D22+D21</f>
        <v>3</v>
      </c>
      <c r="E18" s="544">
        <f>E19+E20+E22+E21</f>
        <v>1.5</v>
      </c>
    </row>
    <row r="19" spans="1:5" ht="18" customHeight="1">
      <c r="A19" s="539"/>
      <c r="B19" s="538" t="s">
        <v>25</v>
      </c>
      <c r="C19" s="541">
        <f>1</f>
        <v>1</v>
      </c>
      <c r="D19" s="541">
        <f>1</f>
        <v>1</v>
      </c>
      <c r="E19" s="541">
        <f>C19-D19</f>
        <v>0</v>
      </c>
    </row>
    <row r="20" spans="1:5" ht="18" customHeight="1">
      <c r="A20" s="539"/>
      <c r="B20" s="538" t="s">
        <v>268</v>
      </c>
      <c r="C20" s="541">
        <f>2</f>
        <v>2</v>
      </c>
      <c r="D20" s="541">
        <f>1</f>
        <v>1</v>
      </c>
      <c r="E20" s="541">
        <f>C20-D20</f>
        <v>1</v>
      </c>
    </row>
    <row r="21" spans="1:5" ht="18" customHeight="1">
      <c r="A21" s="539"/>
      <c r="B21" s="538" t="s">
        <v>270</v>
      </c>
      <c r="C21" s="541">
        <f>0.5</f>
        <v>0.5</v>
      </c>
      <c r="D21" s="541">
        <f>0.5</f>
        <v>0.5</v>
      </c>
      <c r="E21" s="541">
        <f>C21-D21</f>
        <v>0</v>
      </c>
    </row>
    <row r="22" spans="1:5" ht="18" customHeight="1">
      <c r="A22" s="539"/>
      <c r="B22" s="538" t="s">
        <v>269</v>
      </c>
      <c r="C22" s="541">
        <f>1</f>
        <v>1</v>
      </c>
      <c r="D22" s="541">
        <f>0.5</f>
        <v>0.5</v>
      </c>
      <c r="E22" s="541">
        <f>C22-D22</f>
        <v>0.5</v>
      </c>
    </row>
    <row r="23" spans="1:5" ht="18" customHeight="1">
      <c r="A23" s="543">
        <v>5</v>
      </c>
      <c r="B23" s="543" t="str">
        <f>Титулка!B16</f>
        <v>Галайківська амб. заг. практ.-сім. мед.</v>
      </c>
      <c r="C23" s="544">
        <f>C24+C25+C26</f>
        <v>3</v>
      </c>
      <c r="D23" s="544">
        <f>D24+D25+D26</f>
        <v>2.5</v>
      </c>
      <c r="E23" s="544">
        <f>E24+E25+E26</f>
        <v>0.5</v>
      </c>
    </row>
    <row r="24" spans="1:5" ht="18" customHeight="1">
      <c r="A24" s="539"/>
      <c r="B24" s="538" t="s">
        <v>268</v>
      </c>
      <c r="C24" s="541">
        <f>1</f>
        <v>1</v>
      </c>
      <c r="D24" s="541">
        <f>1</f>
        <v>1</v>
      </c>
      <c r="E24" s="541">
        <f>C24-D24</f>
        <v>0</v>
      </c>
    </row>
    <row r="25" spans="1:5" ht="18" customHeight="1">
      <c r="A25" s="539"/>
      <c r="B25" s="538" t="s">
        <v>270</v>
      </c>
      <c r="C25" s="541">
        <f>0.5</f>
        <v>0.5</v>
      </c>
      <c r="D25" s="541">
        <f>0.5</f>
        <v>0.5</v>
      </c>
      <c r="E25" s="541">
        <f>C25-D25</f>
        <v>0</v>
      </c>
    </row>
    <row r="26" spans="1:5" ht="18" customHeight="1">
      <c r="A26" s="539"/>
      <c r="B26" s="538" t="s">
        <v>269</v>
      </c>
      <c r="C26" s="541">
        <f>1.5</f>
        <v>1.5</v>
      </c>
      <c r="D26" s="541">
        <f>1</f>
        <v>1</v>
      </c>
      <c r="E26" s="541">
        <f>C26-D26</f>
        <v>0.5</v>
      </c>
    </row>
    <row r="27" spans="1:5" ht="18" customHeight="1">
      <c r="A27" s="543">
        <v>6</v>
      </c>
      <c r="B27" s="543" t="str">
        <f>Титулка!B18</f>
        <v>Денихівська амб заг. прак. – сім. мед. </v>
      </c>
      <c r="C27" s="544">
        <f>C28+C29+C30+C31</f>
        <v>10</v>
      </c>
      <c r="D27" s="544">
        <f>D28+D29+D30+D31</f>
        <v>8.5</v>
      </c>
      <c r="E27" s="544">
        <f>E28+E29+E30+E31</f>
        <v>1.5</v>
      </c>
    </row>
    <row r="28" spans="1:5" ht="18" customHeight="1">
      <c r="A28" s="539"/>
      <c r="B28" s="538" t="s">
        <v>25</v>
      </c>
      <c r="C28" s="541">
        <f>3</f>
        <v>3</v>
      </c>
      <c r="D28" s="541">
        <f>3</f>
        <v>3</v>
      </c>
      <c r="E28" s="541">
        <f>C28-D28</f>
        <v>0</v>
      </c>
    </row>
    <row r="29" spans="1:5" ht="18" customHeight="1">
      <c r="A29" s="539"/>
      <c r="B29" s="538" t="s">
        <v>268</v>
      </c>
      <c r="C29" s="541">
        <f>5</f>
        <v>5</v>
      </c>
      <c r="D29" s="541">
        <f>4</f>
        <v>4</v>
      </c>
      <c r="E29" s="541">
        <f>C29-D29</f>
        <v>1</v>
      </c>
    </row>
    <row r="30" spans="1:5" ht="18" customHeight="1">
      <c r="A30" s="539"/>
      <c r="B30" s="538" t="s">
        <v>270</v>
      </c>
      <c r="C30" s="541">
        <f>1</f>
        <v>1</v>
      </c>
      <c r="D30" s="541">
        <f>1</f>
        <v>1</v>
      </c>
      <c r="E30" s="541">
        <f>C30-D30</f>
        <v>0</v>
      </c>
    </row>
    <row r="31" spans="1:5" ht="18" customHeight="1">
      <c r="A31" s="539"/>
      <c r="B31" s="538" t="s">
        <v>269</v>
      </c>
      <c r="C31" s="541">
        <f>1</f>
        <v>1</v>
      </c>
      <c r="D31" s="541">
        <f>0.5</f>
        <v>0.5</v>
      </c>
      <c r="E31" s="541">
        <f>C31-D31</f>
        <v>0.5</v>
      </c>
    </row>
    <row r="32" spans="1:5" ht="18" customHeight="1">
      <c r="A32" s="543">
        <v>7</v>
      </c>
      <c r="B32" s="543" t="str">
        <f>Титулка!B19</f>
        <v>Кашперівська амб заг. прак. – сім. мед.</v>
      </c>
      <c r="C32" s="544">
        <f>C33+C34+C35+C36</f>
        <v>10</v>
      </c>
      <c r="D32" s="544">
        <f>D33+D34+D35+D36</f>
        <v>8.5</v>
      </c>
      <c r="E32" s="544">
        <f>E33+E34+E35+E36</f>
        <v>1.5</v>
      </c>
    </row>
    <row r="33" spans="1:5" ht="18" customHeight="1">
      <c r="A33" s="539"/>
      <c r="B33" s="538" t="s">
        <v>25</v>
      </c>
      <c r="C33" s="541">
        <f>3</f>
        <v>3</v>
      </c>
      <c r="D33" s="541">
        <f>3</f>
        <v>3</v>
      </c>
      <c r="E33" s="541">
        <f>C33-D33</f>
        <v>0</v>
      </c>
    </row>
    <row r="34" spans="1:5" ht="18" customHeight="1">
      <c r="A34" s="539"/>
      <c r="B34" s="538" t="s">
        <v>268</v>
      </c>
      <c r="C34" s="541">
        <f>3</f>
        <v>3</v>
      </c>
      <c r="D34" s="541">
        <f>3</f>
        <v>3</v>
      </c>
      <c r="E34" s="541">
        <f>C34-D34</f>
        <v>0</v>
      </c>
    </row>
    <row r="35" spans="1:5" ht="18" customHeight="1">
      <c r="A35" s="539"/>
      <c r="B35" s="538" t="s">
        <v>270</v>
      </c>
      <c r="C35" s="541">
        <f>1</f>
        <v>1</v>
      </c>
      <c r="D35" s="541">
        <f>1</f>
        <v>1</v>
      </c>
      <c r="E35" s="541">
        <f>C35-D35</f>
        <v>0</v>
      </c>
    </row>
    <row r="36" spans="1:5" ht="18" customHeight="1">
      <c r="A36" s="539"/>
      <c r="B36" s="538" t="s">
        <v>269</v>
      </c>
      <c r="C36" s="541">
        <f>3</f>
        <v>3</v>
      </c>
      <c r="D36" s="541">
        <f>1.5</f>
        <v>1.5</v>
      </c>
      <c r="E36" s="541">
        <f>C36-D36</f>
        <v>1.5</v>
      </c>
    </row>
    <row r="37" spans="1:5" ht="18" customHeight="1">
      <c r="A37" s="543">
        <v>8</v>
      </c>
      <c r="B37" s="543" t="str">
        <f>Титулка!B20</f>
        <v>П`ятигірська амб заг. прак. – сім. мед. </v>
      </c>
      <c r="C37" s="544">
        <f>C38+C39+C40+C41</f>
        <v>11</v>
      </c>
      <c r="D37" s="544">
        <f>D38+D39+D40+D41</f>
        <v>8.5</v>
      </c>
      <c r="E37" s="544">
        <f>E38+E39+E40+E41</f>
        <v>2.5</v>
      </c>
    </row>
    <row r="38" spans="1:5" ht="18" customHeight="1">
      <c r="A38" s="539"/>
      <c r="B38" s="538" t="s">
        <v>25</v>
      </c>
      <c r="C38" s="541">
        <f>3</f>
        <v>3</v>
      </c>
      <c r="D38" s="541">
        <f>3</f>
        <v>3</v>
      </c>
      <c r="E38" s="541">
        <f>C38-D38</f>
        <v>0</v>
      </c>
    </row>
    <row r="39" spans="1:5" ht="18" customHeight="1">
      <c r="A39" s="539"/>
      <c r="B39" s="538" t="s">
        <v>268</v>
      </c>
      <c r="C39" s="541">
        <f>4</f>
        <v>4</v>
      </c>
      <c r="D39" s="541">
        <f>3</f>
        <v>3</v>
      </c>
      <c r="E39" s="541">
        <f>C39-D39</f>
        <v>1</v>
      </c>
    </row>
    <row r="40" spans="1:5" ht="18" customHeight="1">
      <c r="A40" s="539"/>
      <c r="B40" s="538" t="s">
        <v>270</v>
      </c>
      <c r="C40" s="541">
        <f>1</f>
        <v>1</v>
      </c>
      <c r="D40" s="541">
        <f>1</f>
        <v>1</v>
      </c>
      <c r="E40" s="541">
        <f>C40-D40</f>
        <v>0</v>
      </c>
    </row>
    <row r="41" spans="1:5" ht="18" customHeight="1">
      <c r="A41" s="539"/>
      <c r="B41" s="538" t="s">
        <v>269</v>
      </c>
      <c r="C41" s="541">
        <f>3</f>
        <v>3</v>
      </c>
      <c r="D41" s="541">
        <f>1.5</f>
        <v>1.5</v>
      </c>
      <c r="E41" s="541">
        <f>C41-D41</f>
        <v>1.5</v>
      </c>
    </row>
    <row r="42" spans="1:5" ht="18" customHeight="1">
      <c r="A42" s="543">
        <v>9</v>
      </c>
      <c r="B42" s="543" t="str">
        <f>Титулка!B21</f>
        <v>Теліженецька амб. заг. практ.-сім. мед.</v>
      </c>
      <c r="C42" s="544">
        <f>C43+C44+C45</f>
        <v>4</v>
      </c>
      <c r="D42" s="544">
        <f>D43+D44+D45</f>
        <v>2.5</v>
      </c>
      <c r="E42" s="544">
        <f>E43+E44+E45</f>
        <v>1.5</v>
      </c>
    </row>
    <row r="43" spans="1:5" ht="18" customHeight="1">
      <c r="A43" s="539"/>
      <c r="B43" s="538" t="s">
        <v>268</v>
      </c>
      <c r="C43" s="541">
        <f>2</f>
        <v>2</v>
      </c>
      <c r="D43" s="541">
        <f>1</f>
        <v>1</v>
      </c>
      <c r="E43" s="541">
        <f>C43-D43</f>
        <v>1</v>
      </c>
    </row>
    <row r="44" spans="1:5" ht="18" customHeight="1">
      <c r="A44" s="539"/>
      <c r="B44" s="538" t="s">
        <v>270</v>
      </c>
      <c r="C44" s="541">
        <f>1</f>
        <v>1</v>
      </c>
      <c r="D44" s="541">
        <f>1</f>
        <v>1</v>
      </c>
      <c r="E44" s="541">
        <f>C44-D44</f>
        <v>0</v>
      </c>
    </row>
    <row r="45" spans="1:5" ht="18" customHeight="1">
      <c r="A45" s="539"/>
      <c r="B45" s="538" t="s">
        <v>269</v>
      </c>
      <c r="C45" s="541">
        <f>1</f>
        <v>1</v>
      </c>
      <c r="D45" s="541">
        <f>0.5</f>
        <v>0.5</v>
      </c>
      <c r="E45" s="541">
        <f>C45-D45</f>
        <v>0.5</v>
      </c>
    </row>
    <row r="46" spans="1:5" ht="18" customHeight="1">
      <c r="A46" s="543">
        <v>10</v>
      </c>
      <c r="B46" s="543" t="str">
        <f>Титулка!B22</f>
        <v>ФП</v>
      </c>
      <c r="C46" s="546">
        <f>C47+C48</f>
        <v>32.75</v>
      </c>
      <c r="D46" s="544">
        <f>D47+D48</f>
        <v>30.5</v>
      </c>
      <c r="E46" s="546">
        <f>E47+E48</f>
        <v>2.25</v>
      </c>
    </row>
    <row r="47" spans="1:5" ht="18" customHeight="1">
      <c r="A47" s="539"/>
      <c r="B47" s="538" t="s">
        <v>268</v>
      </c>
      <c r="C47" s="541">
        <f>20</f>
        <v>20</v>
      </c>
      <c r="D47" s="541">
        <f>20</f>
        <v>20</v>
      </c>
      <c r="E47" s="541">
        <f>C47-D47</f>
        <v>0</v>
      </c>
    </row>
    <row r="48" spans="1:5" ht="18" customHeight="1">
      <c r="A48" s="539"/>
      <c r="B48" s="538" t="s">
        <v>270</v>
      </c>
      <c r="C48" s="542">
        <f>12.75</f>
        <v>12.75</v>
      </c>
      <c r="D48" s="541">
        <f>10.5</f>
        <v>10.5</v>
      </c>
      <c r="E48" s="542">
        <f>C48-D48</f>
        <v>2.25</v>
      </c>
    </row>
    <row r="49" spans="1:5" ht="18" customHeight="1">
      <c r="A49" s="543"/>
      <c r="B49" s="547" t="s">
        <v>265</v>
      </c>
      <c r="C49" s="546">
        <f>C5+C9+C14+C18+C23+C27+C32+C37+C42+C46</f>
        <v>141.75</v>
      </c>
      <c r="D49" s="544">
        <f>D5+D9+D14+D18+D23+D27+D32+D37+D42+D46</f>
        <v>126.5</v>
      </c>
      <c r="E49" s="546">
        <f>E5+E9+E14+E18+E23+E27+E32+E37+E42+E46</f>
        <v>15.25</v>
      </c>
    </row>
  </sheetData>
  <sheetProtection/>
  <mergeCells count="1">
    <mergeCell ref="A2:E2"/>
  </mergeCells>
  <printOptions/>
  <pageMargins left="0.35" right="0.29" top="0.2" bottom="0.21" header="0.2" footer="0.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AA29"/>
  <sheetViews>
    <sheetView view="pageBreakPreview" zoomScale="80" zoomScaleNormal="75" zoomScaleSheetLayoutView="80" zoomScalePageLayoutView="0" workbookViewId="0" topLeftCell="A1">
      <selection activeCell="C13" sqref="C13"/>
    </sheetView>
  </sheetViews>
  <sheetFormatPr defaultColWidth="9.00390625" defaultRowHeight="12.75"/>
  <cols>
    <col min="1" max="1" width="4.375" style="0" customWidth="1"/>
    <col min="2" max="2" width="27.625" style="0" customWidth="1"/>
    <col min="3" max="3" width="7.875" style="0" customWidth="1"/>
    <col min="4" max="4" width="11.375" style="0" customWidth="1"/>
    <col min="5" max="5" width="9.125" style="0" customWidth="1"/>
    <col min="6" max="6" width="8.75390625" style="0" customWidth="1"/>
    <col min="7" max="7" width="7.75390625" style="0" customWidth="1"/>
    <col min="8" max="8" width="9.00390625" style="0" customWidth="1"/>
    <col min="9" max="9" width="8.375" style="0" customWidth="1"/>
    <col min="10" max="10" width="8.75390625" style="0" customWidth="1"/>
    <col min="11" max="11" width="11.375" style="0" customWidth="1"/>
    <col min="12" max="12" width="9.00390625" style="0" customWidth="1"/>
    <col min="13" max="13" width="7.625" style="0" customWidth="1"/>
    <col min="14" max="14" width="10.125" style="0" customWidth="1"/>
    <col min="15" max="15" width="7.875" style="0" customWidth="1"/>
    <col min="16" max="16" width="10.375" style="0" customWidth="1"/>
    <col min="17" max="17" width="12.25390625" style="0" customWidth="1"/>
    <col min="18" max="18" width="14.125" style="0" customWidth="1"/>
    <col min="19" max="19" width="10.00390625" style="0" customWidth="1"/>
    <col min="20" max="20" width="13.00390625" style="0" customWidth="1"/>
    <col min="21" max="21" width="9.25390625" style="0" bestFit="1" customWidth="1"/>
    <col min="22" max="22" width="9.875" style="0" bestFit="1" customWidth="1"/>
    <col min="23" max="23" width="11.375" style="0" bestFit="1" customWidth="1"/>
    <col min="24" max="24" width="9.875" style="0" bestFit="1" customWidth="1"/>
    <col min="25" max="25" width="11.375" style="0" bestFit="1" customWidth="1"/>
    <col min="26" max="26" width="10.375" style="0" customWidth="1"/>
  </cols>
  <sheetData>
    <row r="1" spans="1:19" ht="14.2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90.75" customHeight="1">
      <c r="A2" s="608"/>
      <c r="B2" s="608"/>
      <c r="C2" s="608"/>
      <c r="D2" s="608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15" t="s">
        <v>236</v>
      </c>
      <c r="R2" s="608"/>
      <c r="S2" s="608"/>
    </row>
    <row r="3" spans="1:27" ht="15" customHeight="1">
      <c r="A3" s="526">
        <v>1</v>
      </c>
      <c r="B3" s="527">
        <v>2</v>
      </c>
      <c r="C3" s="527">
        <v>3</v>
      </c>
      <c r="D3" s="527">
        <v>4</v>
      </c>
      <c r="E3" s="527">
        <v>5</v>
      </c>
      <c r="F3" s="527">
        <v>6</v>
      </c>
      <c r="G3" s="527">
        <v>7</v>
      </c>
      <c r="H3" s="527">
        <v>8</v>
      </c>
      <c r="I3" s="527">
        <v>9</v>
      </c>
      <c r="J3" s="527">
        <v>10</v>
      </c>
      <c r="K3" s="527">
        <v>11</v>
      </c>
      <c r="L3" s="527">
        <v>12</v>
      </c>
      <c r="M3" s="527">
        <v>13</v>
      </c>
      <c r="N3" s="527">
        <v>14</v>
      </c>
      <c r="O3" s="527">
        <v>15</v>
      </c>
      <c r="P3" s="527">
        <v>16</v>
      </c>
      <c r="Q3" s="527">
        <v>17</v>
      </c>
      <c r="R3" s="527">
        <v>18</v>
      </c>
      <c r="S3" s="527">
        <v>19</v>
      </c>
      <c r="Y3" s="18"/>
      <c r="Z3" s="18"/>
      <c r="AA3" s="18"/>
    </row>
    <row r="4" spans="1:27" ht="24.75" customHeight="1">
      <c r="A4" s="621" t="s">
        <v>133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18"/>
      <c r="Z4" s="18"/>
      <c r="AA4" s="18"/>
    </row>
    <row r="5" spans="1:27" ht="15" customHeight="1">
      <c r="A5" s="526">
        <v>1</v>
      </c>
      <c r="B5" s="527">
        <v>2</v>
      </c>
      <c r="C5" s="527">
        <v>3</v>
      </c>
      <c r="D5" s="527">
        <v>4</v>
      </c>
      <c r="E5" s="527">
        <v>5</v>
      </c>
      <c r="F5" s="527">
        <v>6</v>
      </c>
      <c r="G5" s="527">
        <v>7</v>
      </c>
      <c r="H5" s="527">
        <v>8</v>
      </c>
      <c r="I5" s="527">
        <v>9</v>
      </c>
      <c r="J5" s="527">
        <v>10</v>
      </c>
      <c r="K5" s="527">
        <v>11</v>
      </c>
      <c r="L5" s="527">
        <v>12</v>
      </c>
      <c r="M5" s="527">
        <v>13</v>
      </c>
      <c r="N5" s="527">
        <v>14</v>
      </c>
      <c r="O5" s="527">
        <v>15</v>
      </c>
      <c r="P5" s="527">
        <v>16</v>
      </c>
      <c r="Q5" s="527">
        <v>17</v>
      </c>
      <c r="R5" s="527">
        <v>18</v>
      </c>
      <c r="S5" s="527">
        <v>19</v>
      </c>
      <c r="Y5" s="18"/>
      <c r="Z5" s="18"/>
      <c r="AA5" s="18"/>
    </row>
    <row r="6" spans="1:27" s="14" customFormat="1" ht="37.5" customHeight="1" hidden="1">
      <c r="A6" s="226">
        <v>1</v>
      </c>
      <c r="B6" s="218" t="s">
        <v>180</v>
      </c>
      <c r="C6" s="209"/>
      <c r="D6" s="213"/>
      <c r="E6" s="213"/>
      <c r="F6" s="225"/>
      <c r="G6" s="213"/>
      <c r="H6" s="213"/>
      <c r="I6" s="213"/>
      <c r="J6" s="213"/>
      <c r="K6" s="213">
        <f>SUM(D6:J6)</f>
        <v>0</v>
      </c>
      <c r="L6" s="213"/>
      <c r="M6" s="213"/>
      <c r="N6" s="213">
        <f>K6*30%</f>
        <v>0</v>
      </c>
      <c r="O6" s="213"/>
      <c r="P6" s="213"/>
      <c r="Q6" s="213"/>
      <c r="R6" s="214">
        <f>SUM(K6:P6)*C6</f>
        <v>0</v>
      </c>
      <c r="S6" s="129">
        <v>13</v>
      </c>
      <c r="T6" s="29"/>
      <c r="U6" s="29"/>
      <c r="V6" s="29"/>
      <c r="W6" s="29"/>
      <c r="X6" s="29"/>
      <c r="Y6" s="29"/>
      <c r="Z6" s="29"/>
      <c r="AA6" s="29"/>
    </row>
    <row r="7" spans="1:27" s="14" customFormat="1" ht="19.5" customHeight="1">
      <c r="A7" s="10">
        <v>1</v>
      </c>
      <c r="B7" s="15" t="s">
        <v>155</v>
      </c>
      <c r="C7" s="409">
        <v>3</v>
      </c>
      <c r="D7" s="399">
        <f>6567</f>
        <v>6567</v>
      </c>
      <c r="E7" s="399"/>
      <c r="F7" s="432"/>
      <c r="G7" s="399"/>
      <c r="H7" s="399"/>
      <c r="I7" s="399"/>
      <c r="J7" s="399"/>
      <c r="K7" s="399">
        <f aca="true" t="shared" si="0" ref="K7:K12">SUM(D7:J7)</f>
        <v>6567</v>
      </c>
      <c r="L7" s="399"/>
      <c r="M7" s="399"/>
      <c r="N7" s="399">
        <f>K7*30%</f>
        <v>1970.1</v>
      </c>
      <c r="O7" s="399"/>
      <c r="P7" s="399"/>
      <c r="Q7" s="399">
        <f>60000-(K7+N7)*C7</f>
        <v>34388.7</v>
      </c>
      <c r="R7" s="402">
        <f>SUM(K7:P7)*C7+Q7</f>
        <v>60000</v>
      </c>
      <c r="S7" s="16">
        <v>13</v>
      </c>
      <c r="T7" s="29"/>
      <c r="U7" s="29"/>
      <c r="V7" s="29"/>
      <c r="W7" s="29"/>
      <c r="X7" s="29"/>
      <c r="Y7" s="29"/>
      <c r="Z7" s="29"/>
      <c r="AA7" s="29"/>
    </row>
    <row r="8" spans="1:27" s="14" customFormat="1" ht="21.75" customHeight="1" hidden="1">
      <c r="A8" s="10"/>
      <c r="B8" s="15"/>
      <c r="C8" s="409"/>
      <c r="D8" s="399"/>
      <c r="E8" s="399"/>
      <c r="F8" s="432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>
        <f>60000-(K8+N8)*C8</f>
        <v>60000</v>
      </c>
      <c r="R8" s="402">
        <f>SUM(K8:P8)*C8+Q8</f>
        <v>60000</v>
      </c>
      <c r="S8" s="16"/>
      <c r="T8" s="29"/>
      <c r="U8" s="29"/>
      <c r="V8" s="29"/>
      <c r="W8" s="29"/>
      <c r="X8" s="29"/>
      <c r="Y8" s="29"/>
      <c r="Z8" s="29"/>
      <c r="AA8" s="29"/>
    </row>
    <row r="9" spans="1:27" s="14" customFormat="1" ht="19.5" customHeight="1">
      <c r="A9" s="10">
        <v>2</v>
      </c>
      <c r="B9" s="15" t="s">
        <v>97</v>
      </c>
      <c r="C9" s="409">
        <f>3+1-1</f>
        <v>3</v>
      </c>
      <c r="D9" s="399">
        <f>5265</f>
        <v>5265</v>
      </c>
      <c r="E9" s="399"/>
      <c r="F9" s="432"/>
      <c r="G9" s="399"/>
      <c r="H9" s="399"/>
      <c r="I9" s="399"/>
      <c r="J9" s="399"/>
      <c r="K9" s="399">
        <f t="shared" si="0"/>
        <v>5265</v>
      </c>
      <c r="L9" s="399"/>
      <c r="M9" s="399"/>
      <c r="N9" s="399">
        <f>K9*30%</f>
        <v>1579.5</v>
      </c>
      <c r="O9" s="399"/>
      <c r="P9" s="399"/>
      <c r="Q9" s="399">
        <f>40500-(K9+N9)*C9</f>
        <v>19966.5</v>
      </c>
      <c r="R9" s="402">
        <f>SUM(K9:P9)*C9+Q9</f>
        <v>40500</v>
      </c>
      <c r="S9" s="16">
        <v>10</v>
      </c>
      <c r="T9" s="29"/>
      <c r="U9" s="29"/>
      <c r="V9" s="29"/>
      <c r="W9" s="29"/>
      <c r="X9" s="29"/>
      <c r="Y9" s="29"/>
      <c r="Z9" s="29"/>
      <c r="AA9" s="29"/>
    </row>
    <row r="10" spans="1:27" s="14" customFormat="1" ht="19.5" customHeight="1" hidden="1">
      <c r="A10" s="10"/>
      <c r="B10" s="15"/>
      <c r="C10" s="40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402"/>
      <c r="S10" s="16"/>
      <c r="T10" s="29"/>
      <c r="U10" s="29"/>
      <c r="V10" s="29"/>
      <c r="W10" s="29"/>
      <c r="X10" s="29"/>
      <c r="Y10" s="29"/>
      <c r="Z10" s="29"/>
      <c r="AA10" s="29"/>
    </row>
    <row r="11" spans="1:27" s="14" customFormat="1" ht="19.5" customHeight="1">
      <c r="A11" s="10">
        <v>3</v>
      </c>
      <c r="B11" s="416" t="s">
        <v>156</v>
      </c>
      <c r="C11" s="409">
        <v>1</v>
      </c>
      <c r="D11" s="399">
        <f>6700*1</f>
        <v>6700</v>
      </c>
      <c r="E11" s="399"/>
      <c r="F11" s="399"/>
      <c r="G11" s="399"/>
      <c r="H11" s="399"/>
      <c r="I11" s="399"/>
      <c r="J11" s="399"/>
      <c r="K11" s="399">
        <f t="shared" si="0"/>
        <v>6700</v>
      </c>
      <c r="L11" s="399"/>
      <c r="M11" s="399"/>
      <c r="N11" s="399"/>
      <c r="O11" s="399"/>
      <c r="P11" s="399">
        <f>3414*10%</f>
        <v>341.40000000000003</v>
      </c>
      <c r="Q11" s="399"/>
      <c r="R11" s="402">
        <f>SUM(K11:P11)*C11</f>
        <v>7041.4</v>
      </c>
      <c r="S11" s="16">
        <v>3</v>
      </c>
      <c r="T11" s="29"/>
      <c r="U11" s="29"/>
      <c r="V11" s="29"/>
      <c r="W11" s="29"/>
      <c r="X11" s="29"/>
      <c r="Y11" s="29"/>
      <c r="Z11" s="29"/>
      <c r="AA11" s="29"/>
    </row>
    <row r="12" spans="1:27" s="14" customFormat="1" ht="19.5" customHeight="1">
      <c r="A12" s="10">
        <v>4</v>
      </c>
      <c r="B12" s="15" t="s">
        <v>193</v>
      </c>
      <c r="C12" s="409">
        <v>0.5</v>
      </c>
      <c r="D12" s="399">
        <f>6700*1.2</f>
        <v>8040</v>
      </c>
      <c r="E12" s="399"/>
      <c r="F12" s="399"/>
      <c r="G12" s="399"/>
      <c r="H12" s="399"/>
      <c r="I12" s="399"/>
      <c r="J12" s="399"/>
      <c r="K12" s="399">
        <f t="shared" si="0"/>
        <v>8040</v>
      </c>
      <c r="L12" s="399"/>
      <c r="M12" s="399"/>
      <c r="N12" s="399"/>
      <c r="O12" s="399"/>
      <c r="P12" s="399"/>
      <c r="Q12" s="399"/>
      <c r="R12" s="402">
        <f>SUM(K12:P12)*C12</f>
        <v>4020</v>
      </c>
      <c r="S12" s="16">
        <v>4</v>
      </c>
      <c r="T12" s="29"/>
      <c r="U12" s="29"/>
      <c r="V12" s="29"/>
      <c r="W12" s="29"/>
      <c r="X12" s="29"/>
      <c r="Y12" s="29"/>
      <c r="Z12" s="29"/>
      <c r="AA12" s="29"/>
    </row>
    <row r="13" spans="1:27" s="14" customFormat="1" ht="19.5" customHeight="1">
      <c r="A13" s="10">
        <v>5</v>
      </c>
      <c r="B13" s="15" t="s">
        <v>124</v>
      </c>
      <c r="C13" s="409">
        <f>2.5-0.5-1</f>
        <v>1</v>
      </c>
      <c r="D13" s="405">
        <f>6700*1</f>
        <v>6700</v>
      </c>
      <c r="E13" s="399"/>
      <c r="F13" s="399"/>
      <c r="G13" s="399"/>
      <c r="H13" s="399"/>
      <c r="I13" s="399"/>
      <c r="J13" s="399"/>
      <c r="K13" s="399">
        <f>SUM(D13:J13)</f>
        <v>6700</v>
      </c>
      <c r="L13" s="399"/>
      <c r="M13" s="399"/>
      <c r="N13" s="399"/>
      <c r="O13" s="399"/>
      <c r="P13" s="399"/>
      <c r="Q13" s="399"/>
      <c r="R13" s="402">
        <f>SUM(K13:P13)*C13</f>
        <v>6700</v>
      </c>
      <c r="S13" s="16">
        <v>3</v>
      </c>
      <c r="T13" s="29"/>
      <c r="U13" s="29"/>
      <c r="V13" s="29"/>
      <c r="W13" s="29"/>
      <c r="X13" s="29"/>
      <c r="Y13" s="29"/>
      <c r="Z13" s="29"/>
      <c r="AA13" s="29"/>
    </row>
    <row r="14" spans="1:27" s="14" customFormat="1" ht="19.5" customHeight="1">
      <c r="A14" s="10"/>
      <c r="B14" s="15"/>
      <c r="C14" s="17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402"/>
      <c r="S14" s="16"/>
      <c r="T14" s="29"/>
      <c r="U14" s="29"/>
      <c r="V14" s="29"/>
      <c r="W14" s="29"/>
      <c r="X14" s="29"/>
      <c r="Y14" s="29"/>
      <c r="Z14" s="29"/>
      <c r="AA14" s="29"/>
    </row>
    <row r="15" spans="1:27" s="14" customFormat="1" ht="19.5" customHeight="1">
      <c r="A15" s="444"/>
      <c r="B15" s="445" t="s">
        <v>131</v>
      </c>
      <c r="C15" s="433">
        <f>SUM(C16:C19)</f>
        <v>8.5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5">
        <f>R7+R9+R11+R12+R13</f>
        <v>118261.4</v>
      </c>
      <c r="S15" s="415"/>
      <c r="T15" s="111"/>
      <c r="U15" s="111"/>
      <c r="V15" s="111"/>
      <c r="W15" s="111"/>
      <c r="X15" s="111"/>
      <c r="Y15" s="111"/>
      <c r="Z15" s="111"/>
      <c r="AA15" s="29"/>
    </row>
    <row r="16" spans="1:27" s="14" customFormat="1" ht="19.5" customHeight="1">
      <c r="A16" s="444"/>
      <c r="B16" s="445" t="s">
        <v>20</v>
      </c>
      <c r="C16" s="433">
        <f>SUM(C6:C7)</f>
        <v>3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5">
        <f>SUM(R6:R7)</f>
        <v>60000</v>
      </c>
      <c r="S16" s="415"/>
      <c r="T16" s="29"/>
      <c r="U16" s="29"/>
      <c r="V16" s="29"/>
      <c r="W16" s="29"/>
      <c r="X16" s="29"/>
      <c r="Y16" s="29"/>
      <c r="Z16" s="29"/>
      <c r="AA16" s="29"/>
    </row>
    <row r="17" spans="1:27" s="14" customFormat="1" ht="19.5" customHeight="1">
      <c r="A17" s="444"/>
      <c r="B17" s="445" t="s">
        <v>16</v>
      </c>
      <c r="C17" s="433">
        <f>SUM(C8:C10)</f>
        <v>3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5">
        <f>R9</f>
        <v>40500</v>
      </c>
      <c r="S17" s="415"/>
      <c r="T17" s="29"/>
      <c r="U17" s="29"/>
      <c r="V17" s="29"/>
      <c r="W17" s="29"/>
      <c r="X17" s="29"/>
      <c r="Y17" s="29"/>
      <c r="Z17" s="29"/>
      <c r="AA17" s="29"/>
    </row>
    <row r="18" spans="1:27" s="14" customFormat="1" ht="19.5" customHeight="1">
      <c r="A18" s="444"/>
      <c r="B18" s="445" t="s">
        <v>129</v>
      </c>
      <c r="C18" s="433">
        <f>C11</f>
        <v>1</v>
      </c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5">
        <f>R11</f>
        <v>7041.4</v>
      </c>
      <c r="S18" s="415"/>
      <c r="T18" s="29"/>
      <c r="U18" s="29"/>
      <c r="V18" s="29"/>
      <c r="W18" s="29"/>
      <c r="X18" s="29"/>
      <c r="Y18" s="29"/>
      <c r="Z18" s="29"/>
      <c r="AA18" s="29"/>
    </row>
    <row r="19" spans="1:27" s="14" customFormat="1" ht="19.5" customHeight="1">
      <c r="A19" s="444"/>
      <c r="B19" s="445" t="s">
        <v>130</v>
      </c>
      <c r="C19" s="433">
        <f>C12+C13</f>
        <v>1.5</v>
      </c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5">
        <f>SUM(R12:R13)</f>
        <v>10720</v>
      </c>
      <c r="S19" s="415"/>
      <c r="T19" s="29"/>
      <c r="U19" s="36"/>
      <c r="V19" s="36"/>
      <c r="W19" s="36"/>
      <c r="X19" s="36"/>
      <c r="Y19" s="36"/>
      <c r="Z19" s="36"/>
      <c r="AA19" s="36"/>
    </row>
    <row r="20" ht="24" customHeight="1"/>
    <row r="21" spans="5:14" ht="27" customHeight="1">
      <c r="E21" s="136"/>
      <c r="F21" s="134" t="str">
        <f>Денихівська!F27</f>
        <v>Інспектор ВК</v>
      </c>
      <c r="G21" s="136"/>
      <c r="H21" s="136"/>
      <c r="I21" s="136"/>
      <c r="J21" s="136"/>
      <c r="K21" s="136"/>
      <c r="L21" s="134" t="str">
        <f>Денихівська!N27</f>
        <v>Тетяна ПРИЩЕПА</v>
      </c>
      <c r="M21" s="134"/>
      <c r="N21" s="136"/>
    </row>
    <row r="22" spans="5:14" ht="21.75" customHeight="1">
      <c r="E22" s="136"/>
      <c r="F22" s="136"/>
      <c r="G22" s="136"/>
      <c r="H22" s="136"/>
      <c r="I22" s="136"/>
      <c r="J22" s="136"/>
      <c r="K22" s="136"/>
      <c r="L22" s="134"/>
      <c r="M22" s="134"/>
      <c r="N22" s="136"/>
    </row>
    <row r="23" spans="5:14" ht="25.5" customHeight="1">
      <c r="E23" s="136"/>
      <c r="F23" s="134" t="str">
        <f>Денихівська!F29</f>
        <v>Економіст</v>
      </c>
      <c r="G23" s="136"/>
      <c r="H23" s="136"/>
      <c r="I23" s="136"/>
      <c r="J23" s="136"/>
      <c r="K23" s="136"/>
      <c r="L23" s="134" t="str">
        <f>Денихівська!N29</f>
        <v>Галина ЛУЧКО</v>
      </c>
      <c r="M23" s="134"/>
      <c r="N23" s="136"/>
    </row>
    <row r="24" spans="5:14" ht="18.75"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9" spans="4:20" ht="12.75">
      <c r="D29" s="11"/>
      <c r="E29" s="251">
        <f>E7</f>
        <v>0</v>
      </c>
      <c r="F29" s="251"/>
      <c r="G29" s="251"/>
      <c r="H29" s="251"/>
      <c r="I29" s="251"/>
      <c r="J29" s="251"/>
      <c r="K29" s="251"/>
      <c r="L29" s="251">
        <f>L6+L7*2+L9*4</f>
        <v>0</v>
      </c>
      <c r="M29" s="251">
        <f>M12</f>
        <v>0</v>
      </c>
      <c r="N29" s="251">
        <f>N6+N7*2+N8+N9*4+N10</f>
        <v>10258.2</v>
      </c>
      <c r="O29" s="251"/>
      <c r="P29" s="251">
        <f>P11*1</f>
        <v>341.40000000000003</v>
      </c>
      <c r="Q29" s="251">
        <f>Q7+Q9</f>
        <v>54355.2</v>
      </c>
      <c r="R29" s="251"/>
      <c r="S29" s="251"/>
      <c r="T29" s="251"/>
    </row>
  </sheetData>
  <sheetProtection/>
  <autoFilter ref="S1:S23"/>
  <mergeCells count="11">
    <mergeCell ref="K1:K2"/>
    <mergeCell ref="L1:N1"/>
    <mergeCell ref="A4:S4"/>
    <mergeCell ref="A1:A2"/>
    <mergeCell ref="B1:B2"/>
    <mergeCell ref="C1:C2"/>
    <mergeCell ref="D1:D2"/>
    <mergeCell ref="O1:Q1"/>
    <mergeCell ref="R1:R2"/>
    <mergeCell ref="S1:S2"/>
    <mergeCell ref="E1:J1"/>
  </mergeCells>
  <printOptions/>
  <pageMargins left="0.1968503937007874" right="0.1968503937007874" top="0.1968503937007874" bottom="0.1968503937007874" header="0.2755905511811024" footer="0.5118110236220472"/>
  <pageSetup orientation="landscape" paperSize="9" scale="75" r:id="rId1"/>
  <colBreaks count="1" manualBreakCount="1">
    <brk id="19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9966"/>
  </sheetPr>
  <dimension ref="A1:Y30"/>
  <sheetViews>
    <sheetView view="pageBreakPreview" zoomScale="80" zoomScaleNormal="75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0" customWidth="1"/>
    <col min="2" max="2" width="28.125" style="0" customWidth="1"/>
    <col min="4" max="4" width="10.375" style="0" bestFit="1" customWidth="1"/>
    <col min="5" max="5" width="8.875" style="0" customWidth="1"/>
    <col min="6" max="6" width="8.625" style="0" customWidth="1"/>
    <col min="7" max="7" width="8.00390625" style="0" customWidth="1"/>
    <col min="8" max="8" width="8.75390625" style="0" customWidth="1"/>
    <col min="9" max="9" width="8.375" style="0" customWidth="1"/>
    <col min="10" max="10" width="8.00390625" style="0" customWidth="1"/>
    <col min="11" max="11" width="9.875" style="0" customWidth="1"/>
    <col min="12" max="12" width="9.125" style="0" customWidth="1"/>
    <col min="13" max="13" width="8.00390625" style="0" customWidth="1"/>
    <col min="14" max="14" width="10.75390625" style="0" customWidth="1"/>
    <col min="15" max="15" width="9.75390625" style="0" customWidth="1"/>
    <col min="16" max="16" width="10.125" style="0" customWidth="1"/>
    <col min="17" max="17" width="12.375" style="0" customWidth="1"/>
    <col min="18" max="18" width="13.625" style="0" customWidth="1"/>
    <col min="20" max="20" width="9.25390625" style="0" bestFit="1" customWidth="1"/>
    <col min="22" max="22" width="20.375" style="0" customWidth="1"/>
  </cols>
  <sheetData>
    <row r="1" spans="1:19" ht="14.2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90">
      <c r="A2" s="608"/>
      <c r="B2" s="608"/>
      <c r="C2" s="608"/>
      <c r="D2" s="608"/>
      <c r="E2" s="50" t="s">
        <v>5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24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X3" s="18"/>
    </row>
    <row r="4" spans="1:24" ht="24.75" customHeight="1">
      <c r="A4" s="621" t="s">
        <v>134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X4" s="18"/>
    </row>
    <row r="5" spans="1:24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X5" s="18"/>
    </row>
    <row r="6" spans="1:19" s="67" customFormat="1" ht="37.5" customHeight="1" hidden="1">
      <c r="A6" s="220">
        <v>1</v>
      </c>
      <c r="B6" s="218" t="s">
        <v>180</v>
      </c>
      <c r="C6" s="209"/>
      <c r="D6" s="213"/>
      <c r="E6" s="213"/>
      <c r="F6" s="225"/>
      <c r="G6" s="215"/>
      <c r="H6" s="215"/>
      <c r="I6" s="213"/>
      <c r="J6" s="213"/>
      <c r="K6" s="213">
        <f aca="true" t="shared" si="0" ref="K6:K11">SUM(D6:J6)</f>
        <v>0</v>
      </c>
      <c r="L6" s="213"/>
      <c r="M6" s="213"/>
      <c r="N6" s="213">
        <f>K6*30%</f>
        <v>0</v>
      </c>
      <c r="O6" s="213"/>
      <c r="P6" s="213"/>
      <c r="Q6" s="213"/>
      <c r="R6" s="214">
        <f aca="true" t="shared" si="1" ref="R6:R11">SUM(K6:P6)*C6</f>
        <v>0</v>
      </c>
      <c r="S6" s="129">
        <v>13</v>
      </c>
    </row>
    <row r="7" spans="1:25" ht="19.5" customHeight="1">
      <c r="A7" s="10">
        <v>1</v>
      </c>
      <c r="B7" s="422" t="s">
        <v>161</v>
      </c>
      <c r="C7" s="409"/>
      <c r="D7" s="399">
        <f>6567</f>
        <v>6567</v>
      </c>
      <c r="E7" s="399"/>
      <c r="F7" s="432"/>
      <c r="G7" s="413"/>
      <c r="H7" s="413"/>
      <c r="I7" s="399"/>
      <c r="J7" s="399"/>
      <c r="K7" s="399">
        <f t="shared" si="0"/>
        <v>6567</v>
      </c>
      <c r="L7" s="399"/>
      <c r="M7" s="399"/>
      <c r="N7" s="399">
        <f>K7*30%</f>
        <v>1970.1</v>
      </c>
      <c r="O7" s="399"/>
      <c r="P7" s="399"/>
      <c r="Q7" s="399">
        <f>20000-(D7+N7)*C7</f>
        <v>20000</v>
      </c>
      <c r="R7" s="402">
        <f>SUM(K7:P7)*C7+Q7</f>
        <v>20000</v>
      </c>
      <c r="S7" s="16">
        <v>13</v>
      </c>
      <c r="T7" s="67"/>
      <c r="U7" s="67"/>
      <c r="V7" s="67"/>
      <c r="W7" s="67"/>
      <c r="X7" s="67"/>
      <c r="Y7" s="67"/>
    </row>
    <row r="8" spans="1:25" ht="19.5" customHeight="1">
      <c r="A8" s="10">
        <v>2</v>
      </c>
      <c r="B8" s="15" t="s">
        <v>97</v>
      </c>
      <c r="C8" s="409">
        <v>1</v>
      </c>
      <c r="D8" s="399">
        <f>4456</f>
        <v>4456</v>
      </c>
      <c r="E8" s="399"/>
      <c r="F8" s="399"/>
      <c r="G8" s="399"/>
      <c r="H8" s="399"/>
      <c r="I8" s="399"/>
      <c r="J8" s="399"/>
      <c r="K8" s="399">
        <f t="shared" si="0"/>
        <v>4456</v>
      </c>
      <c r="L8" s="399"/>
      <c r="M8" s="399"/>
      <c r="N8" s="399">
        <f>K8*10%</f>
        <v>445.6</v>
      </c>
      <c r="O8" s="399"/>
      <c r="P8" s="399"/>
      <c r="Q8" s="399">
        <f>13500-(D8+N8)*C8</f>
        <v>8598.4</v>
      </c>
      <c r="R8" s="402">
        <f>SUM(K8:P8)*C8+Q8</f>
        <v>13500</v>
      </c>
      <c r="S8" s="16">
        <v>7</v>
      </c>
      <c r="T8" s="67"/>
      <c r="U8" s="67"/>
      <c r="V8" s="67"/>
      <c r="W8" s="67"/>
      <c r="X8" s="67"/>
      <c r="Y8" s="67"/>
    </row>
    <row r="9" spans="1:25" ht="19.5" customHeight="1" hidden="1">
      <c r="A9" s="10"/>
      <c r="B9" s="15"/>
      <c r="C9" s="40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402"/>
      <c r="S9" s="16"/>
      <c r="T9" s="67"/>
      <c r="U9" s="67"/>
      <c r="V9" s="67"/>
      <c r="W9" s="67"/>
      <c r="X9" s="67"/>
      <c r="Y9" s="67"/>
    </row>
    <row r="10" spans="1:25" ht="19.5" customHeight="1">
      <c r="A10" s="10">
        <v>3</v>
      </c>
      <c r="B10" s="416" t="s">
        <v>156</v>
      </c>
      <c r="C10" s="409">
        <v>0.5</v>
      </c>
      <c r="D10" s="399">
        <f>6700*1</f>
        <v>6700</v>
      </c>
      <c r="E10" s="399"/>
      <c r="F10" s="399"/>
      <c r="G10" s="399"/>
      <c r="H10" s="399"/>
      <c r="I10" s="399"/>
      <c r="J10" s="399"/>
      <c r="K10" s="399">
        <f t="shared" si="0"/>
        <v>6700</v>
      </c>
      <c r="L10" s="399"/>
      <c r="M10" s="399"/>
      <c r="N10" s="399"/>
      <c r="O10" s="399"/>
      <c r="P10" s="399">
        <f>3414*10%</f>
        <v>341.40000000000003</v>
      </c>
      <c r="Q10" s="399"/>
      <c r="R10" s="402">
        <f t="shared" si="1"/>
        <v>3520.7</v>
      </c>
      <c r="S10" s="16">
        <v>3</v>
      </c>
      <c r="T10" s="67"/>
      <c r="U10" s="67"/>
      <c r="V10" s="67"/>
      <c r="W10" s="67"/>
      <c r="X10" s="67"/>
      <c r="Y10" s="67"/>
    </row>
    <row r="11" spans="1:25" ht="19.5" customHeight="1">
      <c r="A11" s="10">
        <v>4</v>
      </c>
      <c r="B11" s="15" t="s">
        <v>194</v>
      </c>
      <c r="C11" s="409">
        <v>0.5</v>
      </c>
      <c r="D11" s="399">
        <f>6700*1.2</f>
        <v>8040</v>
      </c>
      <c r="E11" s="399"/>
      <c r="F11" s="399"/>
      <c r="G11" s="399"/>
      <c r="H11" s="399"/>
      <c r="I11" s="446"/>
      <c r="J11" s="399"/>
      <c r="K11" s="399">
        <f t="shared" si="0"/>
        <v>8040</v>
      </c>
      <c r="L11" s="399"/>
      <c r="M11" s="447"/>
      <c r="N11" s="399"/>
      <c r="O11" s="399"/>
      <c r="P11" s="399"/>
      <c r="Q11" s="399"/>
      <c r="R11" s="402">
        <f t="shared" si="1"/>
        <v>4020</v>
      </c>
      <c r="S11" s="16">
        <v>3</v>
      </c>
      <c r="T11" s="67"/>
      <c r="U11" s="67"/>
      <c r="V11" s="67"/>
      <c r="W11" s="67"/>
      <c r="X11" s="67"/>
      <c r="Y11" s="67"/>
    </row>
    <row r="12" spans="1:25" ht="19.5" customHeight="1">
      <c r="A12" s="10"/>
      <c r="B12" s="15"/>
      <c r="C12" s="17"/>
      <c r="D12" s="17"/>
      <c r="E12" s="17"/>
      <c r="F12" s="17"/>
      <c r="G12" s="17"/>
      <c r="H12" s="17"/>
      <c r="I12" s="176"/>
      <c r="J12" s="17"/>
      <c r="K12" s="17"/>
      <c r="L12" s="17"/>
      <c r="M12" s="177"/>
      <c r="N12" s="17"/>
      <c r="O12" s="17"/>
      <c r="P12" s="17"/>
      <c r="Q12" s="17"/>
      <c r="R12" s="175"/>
      <c r="S12" s="16"/>
      <c r="T12" s="67"/>
      <c r="U12" s="67"/>
      <c r="V12" s="67"/>
      <c r="W12" s="67"/>
      <c r="X12" s="67"/>
      <c r="Y12" s="67"/>
    </row>
    <row r="13" spans="1:25" ht="19.5" customHeight="1">
      <c r="A13" s="10"/>
      <c r="B13" s="20" t="s">
        <v>131</v>
      </c>
      <c r="C13" s="428">
        <f>C14+C15+C16+C17</f>
        <v>2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48">
        <f>R8+R10+R11</f>
        <v>21040.7</v>
      </c>
      <c r="S13" s="16"/>
      <c r="T13" s="11"/>
      <c r="U13" s="11"/>
      <c r="V13" s="11"/>
      <c r="W13" s="11"/>
      <c r="X13" s="11"/>
      <c r="Y13" s="11"/>
    </row>
    <row r="14" spans="1:19" ht="19.5" customHeight="1">
      <c r="A14" s="10"/>
      <c r="B14" s="20" t="s">
        <v>20</v>
      </c>
      <c r="C14" s="428">
        <f>C6+C7</f>
        <v>0</v>
      </c>
      <c r="D14" s="429"/>
      <c r="E14" s="429"/>
      <c r="F14" s="44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48">
        <f>0</f>
        <v>0</v>
      </c>
      <c r="S14" s="16"/>
    </row>
    <row r="15" spans="1:19" ht="19.5" customHeight="1">
      <c r="A15" s="10"/>
      <c r="B15" s="20" t="s">
        <v>16</v>
      </c>
      <c r="C15" s="428">
        <f>SUM(C8:C9)</f>
        <v>1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48">
        <f>R8</f>
        <v>13500</v>
      </c>
      <c r="S15" s="16"/>
    </row>
    <row r="16" spans="1:19" ht="19.5" customHeight="1">
      <c r="A16" s="10"/>
      <c r="B16" s="20" t="s">
        <v>22</v>
      </c>
      <c r="C16" s="428">
        <f>C10</f>
        <v>0.5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48">
        <f>R10</f>
        <v>3520.7</v>
      </c>
      <c r="S16" s="16"/>
    </row>
    <row r="17" spans="1:19" ht="19.5" customHeight="1">
      <c r="A17" s="10"/>
      <c r="B17" s="20" t="s">
        <v>21</v>
      </c>
      <c r="C17" s="428">
        <f>C11</f>
        <v>0.5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48">
        <f>R11</f>
        <v>4020</v>
      </c>
      <c r="S17" s="16"/>
    </row>
    <row r="18" spans="1:19" ht="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ht="13.5" customHeight="1"/>
    <row r="20" spans="3:17" ht="18.75">
      <c r="C20" s="136"/>
      <c r="D20" s="628" t="str">
        <f>Денихівська!F27</f>
        <v>Інспектор ВК</v>
      </c>
      <c r="E20" s="628"/>
      <c r="F20" s="628"/>
      <c r="G20" s="137"/>
      <c r="H20" s="137"/>
      <c r="I20" s="137"/>
      <c r="J20" s="137"/>
      <c r="K20" s="137"/>
      <c r="L20" s="137"/>
      <c r="M20" s="137"/>
      <c r="N20" s="628" t="str">
        <f>Денихівська!N27</f>
        <v>Тетяна ПРИЩЕПА</v>
      </c>
      <c r="O20" s="628"/>
      <c r="P20" s="628"/>
      <c r="Q20" s="131"/>
    </row>
    <row r="21" spans="1:19" ht="20.25" customHeight="1">
      <c r="A21" s="30"/>
      <c r="B21" s="30"/>
      <c r="C21" s="137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30"/>
      <c r="S21" s="30"/>
    </row>
    <row r="22" spans="1:19" ht="20.25" customHeight="1">
      <c r="A22" s="21"/>
      <c r="B22" s="21"/>
      <c r="C22" s="138"/>
      <c r="D22" s="628" t="str">
        <f>Денихівська!F29</f>
        <v>Економіст</v>
      </c>
      <c r="E22" s="628"/>
      <c r="F22" s="628"/>
      <c r="G22" s="138"/>
      <c r="H22" s="138"/>
      <c r="I22" s="138"/>
      <c r="J22" s="138"/>
      <c r="K22" s="138"/>
      <c r="L22" s="138"/>
      <c r="M22" s="138"/>
      <c r="N22" s="628" t="str">
        <f>Денихівська!N29</f>
        <v>Галина ЛУЧКО</v>
      </c>
      <c r="O22" s="628"/>
      <c r="P22" s="628"/>
      <c r="Q22" s="131"/>
      <c r="R22" s="21"/>
      <c r="S22" s="21"/>
    </row>
    <row r="23" spans="1:22" ht="20.25">
      <c r="A23" s="22"/>
      <c r="B23" s="631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V23" s="249">
        <f>R13-P26-N26-M26-L26-E26</f>
        <v>19439.35</v>
      </c>
    </row>
    <row r="26" spans="4:20" ht="12.75">
      <c r="D26" s="11"/>
      <c r="E26" s="251">
        <f>E7</f>
        <v>0</v>
      </c>
      <c r="F26" s="251"/>
      <c r="G26" s="251"/>
      <c r="H26" s="251"/>
      <c r="I26" s="251"/>
      <c r="J26" s="251"/>
      <c r="K26" s="251"/>
      <c r="L26" s="251">
        <f>L6/2+L7/2</f>
        <v>0</v>
      </c>
      <c r="M26" s="251">
        <f>M11</f>
        <v>0</v>
      </c>
      <c r="N26" s="251">
        <f>N6/2+N7/2+N8+N9</f>
        <v>1430.65</v>
      </c>
      <c r="O26" s="251"/>
      <c r="P26" s="251">
        <f>P10/2</f>
        <v>170.70000000000002</v>
      </c>
      <c r="Q26" s="251">
        <f>Q8</f>
        <v>8598.4</v>
      </c>
      <c r="R26" s="251"/>
      <c r="S26" s="251"/>
      <c r="T26" s="11"/>
    </row>
    <row r="27" spans="4:20" ht="12.75">
      <c r="D27" s="1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11"/>
    </row>
    <row r="28" spans="4:20" ht="12.7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4:20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4:20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sheetProtection/>
  <mergeCells count="16">
    <mergeCell ref="A1:A2"/>
    <mergeCell ref="B1:B2"/>
    <mergeCell ref="C1:C2"/>
    <mergeCell ref="D1:D2"/>
    <mergeCell ref="A4:S4"/>
    <mergeCell ref="B23:S23"/>
    <mergeCell ref="D22:F22"/>
    <mergeCell ref="N22:P22"/>
    <mergeCell ref="N20:P20"/>
    <mergeCell ref="D20:F20"/>
    <mergeCell ref="R1:R2"/>
    <mergeCell ref="S1:S2"/>
    <mergeCell ref="E1:J1"/>
    <mergeCell ref="K1:K2"/>
    <mergeCell ref="L1:N1"/>
    <mergeCell ref="O1:Q1"/>
  </mergeCells>
  <printOptions/>
  <pageMargins left="0.2362204724409449" right="0.15748031496062992" top="0.5118110236220472" bottom="0.984251968503937" header="0.2755905511811024" footer="0.5118110236220472"/>
  <pageSetup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9966"/>
  </sheetPr>
  <dimension ref="A1:Y26"/>
  <sheetViews>
    <sheetView view="pageBreakPreview" zoomScale="80" zoomScaleNormal="75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3.125" style="0" customWidth="1"/>
    <col min="2" max="2" width="27.625" style="0" customWidth="1"/>
    <col min="3" max="3" width="7.125" style="0" customWidth="1"/>
    <col min="4" max="4" width="10.375" style="0" bestFit="1" customWidth="1"/>
    <col min="5" max="5" width="8.875" style="0" customWidth="1"/>
    <col min="6" max="6" width="8.75390625" style="0" customWidth="1"/>
    <col min="7" max="7" width="8.375" style="0" customWidth="1"/>
    <col min="8" max="8" width="8.00390625" style="0" customWidth="1"/>
    <col min="9" max="9" width="9.25390625" style="0" customWidth="1"/>
    <col min="10" max="10" width="8.375" style="0" customWidth="1"/>
    <col min="11" max="11" width="10.00390625" style="0" customWidth="1"/>
    <col min="12" max="12" width="10.625" style="0" customWidth="1"/>
    <col min="13" max="13" width="8.00390625" style="0" customWidth="1"/>
    <col min="14" max="14" width="10.00390625" style="0" customWidth="1"/>
    <col min="15" max="15" width="10.875" style="0" customWidth="1"/>
    <col min="16" max="16" width="10.25390625" style="0" customWidth="1"/>
    <col min="17" max="17" width="12.625" style="0" customWidth="1"/>
    <col min="18" max="18" width="13.00390625" style="0" customWidth="1"/>
    <col min="19" max="19" width="10.375" style="0" customWidth="1"/>
  </cols>
  <sheetData>
    <row r="1" spans="1:19" ht="14.2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75">
      <c r="A2" s="608"/>
      <c r="B2" s="608"/>
      <c r="C2" s="608"/>
      <c r="D2" s="608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25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Y3" s="18"/>
    </row>
    <row r="4" spans="1:25" ht="24.75" customHeight="1">
      <c r="A4" s="621" t="s">
        <v>135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18"/>
    </row>
    <row r="5" spans="1:25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Y5" s="18"/>
    </row>
    <row r="6" spans="1:19" ht="38.25" customHeight="1" hidden="1">
      <c r="A6" s="228">
        <v>1</v>
      </c>
      <c r="B6" s="218" t="s">
        <v>180</v>
      </c>
      <c r="C6" s="229"/>
      <c r="D6" s="227"/>
      <c r="E6" s="227"/>
      <c r="F6" s="212"/>
      <c r="G6" s="212"/>
      <c r="H6" s="212"/>
      <c r="I6" s="212"/>
      <c r="J6" s="212"/>
      <c r="K6" s="213">
        <f aca="true" t="shared" si="0" ref="K6:K11">SUM(D6:J6)</f>
        <v>0</v>
      </c>
      <c r="L6" s="213"/>
      <c r="M6" s="212"/>
      <c r="N6" s="213">
        <f>K6*30%</f>
        <v>0</v>
      </c>
      <c r="O6" s="212"/>
      <c r="P6" s="212"/>
      <c r="Q6" s="212"/>
      <c r="R6" s="214">
        <f aca="true" t="shared" si="1" ref="R6:R11">SUM(K6:P6)*C6</f>
        <v>0</v>
      </c>
      <c r="S6" s="139"/>
    </row>
    <row r="7" spans="1:19" ht="19.5" customHeight="1">
      <c r="A7" s="10">
        <v>1</v>
      </c>
      <c r="B7" s="422" t="s">
        <v>181</v>
      </c>
      <c r="C7" s="409">
        <f>0.5+0.5</f>
        <v>1</v>
      </c>
      <c r="D7" s="447">
        <f>7001</f>
        <v>7001</v>
      </c>
      <c r="E7" s="399"/>
      <c r="F7" s="399"/>
      <c r="G7" s="399"/>
      <c r="H7" s="399"/>
      <c r="I7" s="399"/>
      <c r="J7" s="399"/>
      <c r="K7" s="399">
        <f t="shared" si="0"/>
        <v>7001</v>
      </c>
      <c r="L7" s="399"/>
      <c r="M7" s="399"/>
      <c r="N7" s="399">
        <f>K7*30%</f>
        <v>2100.2999999999997</v>
      </c>
      <c r="O7" s="399"/>
      <c r="P7" s="399"/>
      <c r="Q7" s="399">
        <f>20000-(D7+N7)*C7</f>
        <v>10898.7</v>
      </c>
      <c r="R7" s="402">
        <f>SUM(K7:P7)*C7+Q7</f>
        <v>20000</v>
      </c>
      <c r="S7" s="16">
        <v>14</v>
      </c>
    </row>
    <row r="8" spans="1:19" ht="19.5" customHeight="1">
      <c r="A8" s="10">
        <v>2</v>
      </c>
      <c r="B8" s="15" t="s">
        <v>76</v>
      </c>
      <c r="C8" s="409">
        <v>0.5</v>
      </c>
      <c r="D8" s="399">
        <f>5265</f>
        <v>5265</v>
      </c>
      <c r="E8" s="399"/>
      <c r="F8" s="399"/>
      <c r="G8" s="399"/>
      <c r="H8" s="399"/>
      <c r="I8" s="399"/>
      <c r="J8" s="399"/>
      <c r="K8" s="399">
        <f t="shared" si="0"/>
        <v>5265</v>
      </c>
      <c r="L8" s="399"/>
      <c r="M8" s="399"/>
      <c r="N8" s="399">
        <f>K8*30%</f>
        <v>1579.5</v>
      </c>
      <c r="O8" s="399"/>
      <c r="P8" s="399"/>
      <c r="Q8" s="399">
        <f>6750-(D8+N8)*C8</f>
        <v>3327.75</v>
      </c>
      <c r="R8" s="402">
        <f>SUM(K8:P8)*C8+Q8</f>
        <v>6750</v>
      </c>
      <c r="S8" s="16">
        <v>10</v>
      </c>
    </row>
    <row r="9" spans="1:19" ht="19.5" customHeight="1">
      <c r="A9" s="10">
        <v>3</v>
      </c>
      <c r="B9" s="404" t="s">
        <v>97</v>
      </c>
      <c r="C9" s="409">
        <v>0.5</v>
      </c>
      <c r="D9" s="399">
        <f>5265</f>
        <v>5265</v>
      </c>
      <c r="E9" s="399"/>
      <c r="F9" s="399"/>
      <c r="G9" s="399"/>
      <c r="H9" s="399"/>
      <c r="I9" s="399"/>
      <c r="J9" s="399"/>
      <c r="K9" s="399">
        <f t="shared" si="0"/>
        <v>5265</v>
      </c>
      <c r="L9" s="399"/>
      <c r="M9" s="399"/>
      <c r="N9" s="399">
        <f>K9*30%</f>
        <v>1579.5</v>
      </c>
      <c r="O9" s="399"/>
      <c r="P9" s="399"/>
      <c r="Q9" s="399">
        <f>6750-(D9+N9)*C9</f>
        <v>3327.75</v>
      </c>
      <c r="R9" s="402">
        <f>SUM(K9:P9)*C9+Q9</f>
        <v>6750</v>
      </c>
      <c r="S9" s="16">
        <v>10</v>
      </c>
    </row>
    <row r="10" spans="1:19" ht="19.5" customHeight="1">
      <c r="A10" s="10">
        <v>4</v>
      </c>
      <c r="B10" s="416" t="s">
        <v>156</v>
      </c>
      <c r="C10" s="409">
        <v>0.5</v>
      </c>
      <c r="D10" s="399">
        <f>6700*1</f>
        <v>6700</v>
      </c>
      <c r="E10" s="399"/>
      <c r="F10" s="399"/>
      <c r="G10" s="399"/>
      <c r="H10" s="399"/>
      <c r="I10" s="399"/>
      <c r="J10" s="399"/>
      <c r="K10" s="399">
        <f t="shared" si="0"/>
        <v>6700</v>
      </c>
      <c r="L10" s="399"/>
      <c r="M10" s="399"/>
      <c r="N10" s="399"/>
      <c r="O10" s="399"/>
      <c r="P10" s="399">
        <f>3414*10%</f>
        <v>341.40000000000003</v>
      </c>
      <c r="Q10" s="399"/>
      <c r="R10" s="402">
        <f t="shared" si="1"/>
        <v>3520.7</v>
      </c>
      <c r="S10" s="16">
        <v>3</v>
      </c>
    </row>
    <row r="11" spans="1:19" ht="19.5" customHeight="1">
      <c r="A11" s="10">
        <v>5</v>
      </c>
      <c r="B11" s="15" t="s">
        <v>194</v>
      </c>
      <c r="C11" s="409">
        <v>0.5</v>
      </c>
      <c r="D11" s="399">
        <f>6700*1.2</f>
        <v>8040</v>
      </c>
      <c r="E11" s="399"/>
      <c r="F11" s="399"/>
      <c r="G11" s="399"/>
      <c r="H11" s="399"/>
      <c r="I11" s="447"/>
      <c r="J11" s="399"/>
      <c r="K11" s="399">
        <f t="shared" si="0"/>
        <v>8040</v>
      </c>
      <c r="L11" s="399"/>
      <c r="M11" s="447"/>
      <c r="N11" s="399"/>
      <c r="O11" s="399"/>
      <c r="P11" s="399"/>
      <c r="Q11" s="399"/>
      <c r="R11" s="402">
        <f t="shared" si="1"/>
        <v>4020</v>
      </c>
      <c r="S11" s="16">
        <v>4</v>
      </c>
    </row>
    <row r="12" spans="1:19" ht="19.5" customHeight="1">
      <c r="A12" s="10"/>
      <c r="B12" s="15"/>
      <c r="C12" s="17"/>
      <c r="D12" s="399"/>
      <c r="E12" s="399"/>
      <c r="F12" s="399"/>
      <c r="G12" s="399"/>
      <c r="H12" s="399"/>
      <c r="I12" s="447"/>
      <c r="J12" s="399"/>
      <c r="K12" s="399"/>
      <c r="L12" s="399"/>
      <c r="M12" s="447"/>
      <c r="N12" s="399"/>
      <c r="O12" s="399"/>
      <c r="P12" s="399"/>
      <c r="Q12" s="399"/>
      <c r="R12" s="402"/>
      <c r="S12" s="16"/>
    </row>
    <row r="13" spans="1:19" ht="19.5" customHeight="1">
      <c r="A13" s="10"/>
      <c r="B13" s="20" t="s">
        <v>131</v>
      </c>
      <c r="C13" s="428">
        <f>SUM(C6:C11)</f>
        <v>3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30">
        <f>R7+R8+R9+R10+R11</f>
        <v>41040.7</v>
      </c>
      <c r="S13" s="16"/>
    </row>
    <row r="14" spans="1:19" ht="19.5" customHeight="1">
      <c r="A14" s="10"/>
      <c r="B14" s="20" t="s">
        <v>20</v>
      </c>
      <c r="C14" s="428">
        <f>SUM(C6:C7)</f>
        <v>1</v>
      </c>
      <c r="D14" s="450"/>
      <c r="E14" s="450"/>
      <c r="F14" s="45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30">
        <f>R7</f>
        <v>20000</v>
      </c>
      <c r="S14" s="16"/>
    </row>
    <row r="15" spans="1:19" ht="19.5" customHeight="1">
      <c r="A15" s="10"/>
      <c r="B15" s="20" t="s">
        <v>16</v>
      </c>
      <c r="C15" s="428">
        <f>SUM(C8:C9)</f>
        <v>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30">
        <f>R8+R9</f>
        <v>13500</v>
      </c>
      <c r="S15" s="16"/>
    </row>
    <row r="16" spans="1:19" ht="19.5" customHeight="1">
      <c r="A16" s="10"/>
      <c r="B16" s="20" t="s">
        <v>22</v>
      </c>
      <c r="C16" s="428">
        <f>C10</f>
        <v>0.5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30">
        <f>R10</f>
        <v>3520.7</v>
      </c>
      <c r="S16" s="16"/>
    </row>
    <row r="17" spans="1:19" ht="19.5" customHeight="1">
      <c r="A17" s="10"/>
      <c r="B17" s="20" t="s">
        <v>21</v>
      </c>
      <c r="C17" s="428">
        <f>C11</f>
        <v>0.5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30">
        <f>R11</f>
        <v>4020</v>
      </c>
      <c r="S17" s="16"/>
    </row>
    <row r="18" spans="4:19" ht="18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7"/>
      <c r="S18" s="18"/>
    </row>
    <row r="19" spans="3:18" ht="18.75">
      <c r="C19" s="136"/>
      <c r="D19" s="134"/>
      <c r="E19" s="134"/>
      <c r="F19" s="134"/>
      <c r="G19" s="134"/>
      <c r="H19" s="134"/>
      <c r="I19" s="134"/>
      <c r="J19" s="134"/>
      <c r="K19" s="134"/>
      <c r="L19" s="134"/>
      <c r="M19" s="4"/>
      <c r="N19" s="4"/>
      <c r="O19" s="4"/>
      <c r="P19" s="4"/>
      <c r="Q19" s="4"/>
      <c r="R19" s="4"/>
    </row>
    <row r="20" spans="3:18" ht="18.75">
      <c r="C20" s="136"/>
      <c r="D20" s="134" t="str">
        <f>Денихівська!F27</f>
        <v>Інспектор ВК</v>
      </c>
      <c r="E20" s="134"/>
      <c r="F20" s="134"/>
      <c r="G20" s="134"/>
      <c r="H20" s="134"/>
      <c r="I20" s="134"/>
      <c r="J20" s="134"/>
      <c r="K20" s="134" t="str">
        <f>Денихівська!N27</f>
        <v>Тетяна ПРИЩЕПА</v>
      </c>
      <c r="L20" s="134"/>
      <c r="M20" s="4"/>
      <c r="N20" s="4"/>
      <c r="O20" s="4"/>
      <c r="P20" s="4"/>
      <c r="Q20" s="4"/>
      <c r="R20" s="4"/>
    </row>
    <row r="21" spans="3:18" ht="18.75">
      <c r="C21" s="136"/>
      <c r="D21" s="134"/>
      <c r="E21" s="134"/>
      <c r="F21" s="134"/>
      <c r="G21" s="134"/>
      <c r="H21" s="134"/>
      <c r="I21" s="134"/>
      <c r="J21" s="134"/>
      <c r="K21" s="134"/>
      <c r="L21" s="134"/>
      <c r="M21" s="4"/>
      <c r="N21" s="4"/>
      <c r="O21" s="4"/>
      <c r="P21" s="4"/>
      <c r="Q21" s="4"/>
      <c r="R21" s="4"/>
    </row>
    <row r="22" spans="3:18" ht="18.75">
      <c r="C22" s="136"/>
      <c r="D22" s="134" t="str">
        <f>Денихівська!F29</f>
        <v>Економіст</v>
      </c>
      <c r="E22" s="134"/>
      <c r="F22" s="134"/>
      <c r="G22" s="134"/>
      <c r="H22" s="134"/>
      <c r="I22" s="134"/>
      <c r="J22" s="134"/>
      <c r="K22" s="134" t="str">
        <f>Денихівська!N29</f>
        <v>Галина ЛУЧКО</v>
      </c>
      <c r="L22" s="134"/>
      <c r="M22" s="4"/>
      <c r="N22" s="4"/>
      <c r="O22" s="4"/>
      <c r="P22" s="4"/>
      <c r="Q22" s="4"/>
      <c r="R22" s="4"/>
    </row>
    <row r="23" spans="4:18" ht="15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4:18" ht="15.7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4:18" ht="15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4:19" ht="15.75">
      <c r="D26" s="250"/>
      <c r="E26" s="250">
        <f>E7</f>
        <v>0</v>
      </c>
      <c r="F26" s="250"/>
      <c r="G26" s="250"/>
      <c r="H26" s="250"/>
      <c r="I26" s="250"/>
      <c r="J26" s="250"/>
      <c r="K26" s="250"/>
      <c r="L26" s="250">
        <f>L6/2+L7/2</f>
        <v>0</v>
      </c>
      <c r="M26" s="250">
        <f>M11</f>
        <v>0</v>
      </c>
      <c r="N26" s="250">
        <f>N6/2+N7/2+N8+N9</f>
        <v>4209.15</v>
      </c>
      <c r="O26" s="250"/>
      <c r="P26" s="250">
        <f>P10/2</f>
        <v>170.70000000000002</v>
      </c>
      <c r="Q26" s="250">
        <f>Q7+Q8+Q9</f>
        <v>17554.2</v>
      </c>
      <c r="R26" s="250"/>
      <c r="S26" s="249"/>
    </row>
  </sheetData>
  <sheetProtection/>
  <mergeCells count="11">
    <mergeCell ref="L1:N1"/>
    <mergeCell ref="O1:Q1"/>
    <mergeCell ref="A4:S4"/>
    <mergeCell ref="A1:A2"/>
    <mergeCell ref="B1:B2"/>
    <mergeCell ref="C1:C2"/>
    <mergeCell ref="D1:D2"/>
    <mergeCell ref="R1:R2"/>
    <mergeCell ref="S1:S2"/>
    <mergeCell ref="E1:J1"/>
    <mergeCell ref="K1:K2"/>
  </mergeCells>
  <printOptions/>
  <pageMargins left="0.1968503937007874" right="0.15748031496062992" top="0.5118110236220472" bottom="0.984251968503937" header="0.2755905511811024" footer="0.5118110236220472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Y28"/>
  <sheetViews>
    <sheetView view="pageBreakPreview" zoomScale="78" zoomScaleNormal="75" zoomScaleSheetLayoutView="78" zoomScalePageLayoutView="0" workbookViewId="0" topLeftCell="A1">
      <selection activeCell="C10" sqref="C10"/>
    </sheetView>
  </sheetViews>
  <sheetFormatPr defaultColWidth="9.00390625" defaultRowHeight="12.75"/>
  <cols>
    <col min="1" max="1" width="3.625" style="0" customWidth="1"/>
    <col min="2" max="2" width="29.00390625" style="0" customWidth="1"/>
    <col min="3" max="3" width="7.875" style="0" customWidth="1"/>
    <col min="4" max="4" width="10.625" style="0" bestFit="1" customWidth="1"/>
    <col min="5" max="5" width="8.375" style="0" customWidth="1"/>
    <col min="6" max="6" width="7.125" style="0" customWidth="1"/>
    <col min="7" max="7" width="7.375" style="0" customWidth="1"/>
    <col min="8" max="8" width="8.25390625" style="0" customWidth="1"/>
    <col min="10" max="10" width="8.25390625" style="0" customWidth="1"/>
    <col min="11" max="11" width="10.25390625" style="0" customWidth="1"/>
    <col min="12" max="12" width="10.375" style="0" customWidth="1"/>
    <col min="13" max="13" width="7.25390625" style="0" customWidth="1"/>
    <col min="14" max="14" width="10.375" style="0" customWidth="1"/>
    <col min="15" max="15" width="9.25390625" style="0" customWidth="1"/>
    <col min="16" max="16" width="10.25390625" style="0" customWidth="1"/>
    <col min="17" max="17" width="12.25390625" style="0" customWidth="1"/>
    <col min="18" max="18" width="13.625" style="0" customWidth="1"/>
  </cols>
  <sheetData>
    <row r="1" spans="1:19" ht="14.2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75">
      <c r="A2" s="608"/>
      <c r="B2" s="608"/>
      <c r="C2" s="608"/>
      <c r="D2" s="608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257</v>
      </c>
      <c r="P2" s="50" t="s">
        <v>157</v>
      </c>
      <c r="Q2" s="50" t="s">
        <v>236</v>
      </c>
      <c r="R2" s="608"/>
      <c r="S2" s="608"/>
    </row>
    <row r="3" spans="1:24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X3" s="18"/>
    </row>
    <row r="4" spans="1:24" ht="24.75" customHeight="1">
      <c r="A4" s="621" t="s">
        <v>136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X4" s="18"/>
    </row>
    <row r="5" spans="1:24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X5" s="18"/>
    </row>
    <row r="6" spans="1:19" ht="36.75" customHeight="1" hidden="1">
      <c r="A6" s="231">
        <v>1</v>
      </c>
      <c r="B6" s="218" t="s">
        <v>180</v>
      </c>
      <c r="C6" s="233"/>
      <c r="D6" s="234"/>
      <c r="E6" s="234"/>
      <c r="F6" s="211"/>
      <c r="G6" s="211"/>
      <c r="H6" s="235"/>
      <c r="I6" s="235"/>
      <c r="J6" s="211"/>
      <c r="K6" s="236">
        <f aca="true" t="shared" si="0" ref="K6:K11">SUM(D6:J6)</f>
        <v>0</v>
      </c>
      <c r="L6" s="234"/>
      <c r="M6" s="234"/>
      <c r="N6" s="234">
        <f>K6*30%</f>
        <v>0</v>
      </c>
      <c r="O6" s="211"/>
      <c r="P6" s="211"/>
      <c r="Q6" s="235"/>
      <c r="R6" s="236">
        <f>SUM(K6:P6)*C6</f>
        <v>0</v>
      </c>
      <c r="S6" s="232">
        <v>14</v>
      </c>
    </row>
    <row r="7" spans="1:19" ht="19.5" customHeight="1">
      <c r="A7" s="452">
        <v>1</v>
      </c>
      <c r="B7" s="453" t="s">
        <v>155</v>
      </c>
      <c r="C7" s="454"/>
      <c r="D7" s="455">
        <f>7001</f>
        <v>7001</v>
      </c>
      <c r="E7" s="413"/>
      <c r="F7" s="432"/>
      <c r="G7" s="413"/>
      <c r="H7" s="456"/>
      <c r="I7" s="456"/>
      <c r="J7" s="413"/>
      <c r="K7" s="456">
        <f t="shared" si="0"/>
        <v>7001</v>
      </c>
      <c r="L7" s="455"/>
      <c r="M7" s="457"/>
      <c r="N7" s="455">
        <f>K7*30%</f>
        <v>2100.2999999999997</v>
      </c>
      <c r="O7" s="413"/>
      <c r="P7" s="413"/>
      <c r="Q7" s="413">
        <f>20000-(D7+N7)*C7</f>
        <v>20000</v>
      </c>
      <c r="R7" s="456">
        <f>SUM(K7:P7)*C7+Q7</f>
        <v>20000</v>
      </c>
      <c r="S7" s="415">
        <v>14</v>
      </c>
    </row>
    <row r="8" spans="1:19" ht="19.5" customHeight="1">
      <c r="A8" s="452">
        <v>2</v>
      </c>
      <c r="B8" s="15" t="s">
        <v>97</v>
      </c>
      <c r="C8" s="458">
        <v>1</v>
      </c>
      <c r="D8" s="447">
        <f>4456</f>
        <v>4456</v>
      </c>
      <c r="E8" s="399"/>
      <c r="F8" s="413"/>
      <c r="G8" s="399"/>
      <c r="H8" s="413"/>
      <c r="I8" s="413"/>
      <c r="J8" s="399"/>
      <c r="K8" s="456">
        <f t="shared" si="0"/>
        <v>4456</v>
      </c>
      <c r="L8" s="399"/>
      <c r="M8" s="399"/>
      <c r="N8" s="455">
        <f>K8*30%</f>
        <v>1336.8</v>
      </c>
      <c r="O8" s="399"/>
      <c r="P8" s="399"/>
      <c r="Q8" s="413">
        <f>13500-(D8+N8)*C8</f>
        <v>7707.2</v>
      </c>
      <c r="R8" s="456">
        <f>SUM(K8:P8)*C8+Q8</f>
        <v>13500</v>
      </c>
      <c r="S8" s="415">
        <v>7</v>
      </c>
    </row>
    <row r="9" spans="1:19" ht="19.5" customHeight="1">
      <c r="A9" s="452">
        <v>3</v>
      </c>
      <c r="B9" s="416" t="s">
        <v>156</v>
      </c>
      <c r="C9" s="409">
        <v>0.5</v>
      </c>
      <c r="D9" s="399">
        <f>6700*1</f>
        <v>6700</v>
      </c>
      <c r="E9" s="399"/>
      <c r="F9" s="399"/>
      <c r="G9" s="399"/>
      <c r="H9" s="414"/>
      <c r="I9" s="414"/>
      <c r="J9" s="399"/>
      <c r="K9" s="456">
        <f t="shared" si="0"/>
        <v>6700</v>
      </c>
      <c r="L9" s="399"/>
      <c r="M9" s="399"/>
      <c r="N9" s="455"/>
      <c r="O9" s="399"/>
      <c r="P9" s="399">
        <f>3414*10%</f>
        <v>341.40000000000003</v>
      </c>
      <c r="Q9" s="413"/>
      <c r="R9" s="456">
        <f>SUM(K9:P9)*C9</f>
        <v>3520.7</v>
      </c>
      <c r="S9" s="16">
        <v>3</v>
      </c>
    </row>
    <row r="10" spans="1:19" ht="19.5" customHeight="1">
      <c r="A10" s="9">
        <v>4</v>
      </c>
      <c r="B10" s="15" t="s">
        <v>194</v>
      </c>
      <c r="C10" s="409">
        <v>0.5</v>
      </c>
      <c r="D10" s="399">
        <f>6700*1.2</f>
        <v>8040</v>
      </c>
      <c r="E10" s="399"/>
      <c r="F10" s="399"/>
      <c r="G10" s="399"/>
      <c r="H10" s="414"/>
      <c r="I10" s="459"/>
      <c r="J10" s="399"/>
      <c r="K10" s="456">
        <f t="shared" si="0"/>
        <v>8040</v>
      </c>
      <c r="L10" s="399"/>
      <c r="M10" s="447"/>
      <c r="N10" s="455"/>
      <c r="O10" s="399"/>
      <c r="P10" s="399"/>
      <c r="Q10" s="413"/>
      <c r="R10" s="456">
        <f>SUM(K10:P10)*C10</f>
        <v>4020</v>
      </c>
      <c r="S10" s="16">
        <v>3</v>
      </c>
    </row>
    <row r="11" spans="1:19" ht="19.5" customHeight="1">
      <c r="A11" s="10">
        <v>5</v>
      </c>
      <c r="B11" s="15" t="s">
        <v>124</v>
      </c>
      <c r="C11" s="409">
        <f>0.5</f>
        <v>0.5</v>
      </c>
      <c r="D11" s="405">
        <f>6700*1</f>
        <v>6700</v>
      </c>
      <c r="E11" s="399"/>
      <c r="F11" s="399"/>
      <c r="G11" s="399"/>
      <c r="H11" s="399"/>
      <c r="I11" s="399"/>
      <c r="J11" s="399"/>
      <c r="K11" s="399">
        <f t="shared" si="0"/>
        <v>6700</v>
      </c>
      <c r="L11" s="399"/>
      <c r="M11" s="399"/>
      <c r="N11" s="399"/>
      <c r="O11" s="399"/>
      <c r="P11" s="399"/>
      <c r="Q11" s="399"/>
      <c r="R11" s="402">
        <f>SUM(K11:P11)*C11</f>
        <v>3350</v>
      </c>
      <c r="S11" s="16">
        <v>3</v>
      </c>
    </row>
    <row r="12" spans="1:19" ht="19.5" customHeight="1">
      <c r="A12" s="10"/>
      <c r="B12" s="15"/>
      <c r="C12" s="17"/>
      <c r="D12" s="399"/>
      <c r="E12" s="399"/>
      <c r="F12" s="399"/>
      <c r="G12" s="399"/>
      <c r="H12" s="414"/>
      <c r="I12" s="459"/>
      <c r="J12" s="399"/>
      <c r="K12" s="399"/>
      <c r="L12" s="399"/>
      <c r="M12" s="399"/>
      <c r="N12" s="447"/>
      <c r="O12" s="399"/>
      <c r="P12" s="399"/>
      <c r="Q12" s="399"/>
      <c r="R12" s="399"/>
      <c r="S12" s="16"/>
    </row>
    <row r="13" spans="1:25" ht="19.5" customHeight="1">
      <c r="A13" s="10"/>
      <c r="B13" s="20" t="s">
        <v>131</v>
      </c>
      <c r="C13" s="428">
        <f>C14+C15+C16+C17</f>
        <v>2.5</v>
      </c>
      <c r="D13" s="450"/>
      <c r="E13" s="450"/>
      <c r="F13" s="450"/>
      <c r="G13" s="450"/>
      <c r="H13" s="434"/>
      <c r="I13" s="434"/>
      <c r="J13" s="450"/>
      <c r="K13" s="450"/>
      <c r="L13" s="450"/>
      <c r="M13" s="450"/>
      <c r="N13" s="450"/>
      <c r="O13" s="450"/>
      <c r="P13" s="450"/>
      <c r="Q13" s="450"/>
      <c r="R13" s="430">
        <f>R8+R9+R10+R11</f>
        <v>24390.7</v>
      </c>
      <c r="S13" s="16"/>
      <c r="T13" s="55"/>
      <c r="U13" s="55"/>
      <c r="V13" s="55"/>
      <c r="W13" s="55"/>
      <c r="X13" s="55"/>
      <c r="Y13" s="55"/>
    </row>
    <row r="14" spans="1:19" ht="19.5" customHeight="1">
      <c r="A14" s="10"/>
      <c r="B14" s="20" t="s">
        <v>20</v>
      </c>
      <c r="C14" s="428">
        <f>C6+C7</f>
        <v>0</v>
      </c>
      <c r="D14" s="450"/>
      <c r="E14" s="450"/>
      <c r="F14" s="45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30">
        <f>0</f>
        <v>0</v>
      </c>
      <c r="S14" s="16"/>
    </row>
    <row r="15" spans="1:19" ht="19.5" customHeight="1">
      <c r="A15" s="10"/>
      <c r="B15" s="20" t="s">
        <v>16</v>
      </c>
      <c r="C15" s="428">
        <f>SUM(C8:C8)</f>
        <v>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30">
        <f>R8</f>
        <v>13500</v>
      </c>
      <c r="S15" s="16"/>
    </row>
    <row r="16" spans="1:19" ht="19.5" customHeight="1">
      <c r="A16" s="10"/>
      <c r="B16" s="20" t="s">
        <v>22</v>
      </c>
      <c r="C16" s="428">
        <f>C9</f>
        <v>0.5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30">
        <f>R9</f>
        <v>3520.7</v>
      </c>
      <c r="S16" s="16"/>
    </row>
    <row r="17" spans="1:19" ht="19.5" customHeight="1">
      <c r="A17" s="10"/>
      <c r="B17" s="20" t="s">
        <v>21</v>
      </c>
      <c r="C17" s="428">
        <f>C10+C11</f>
        <v>1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30">
        <f>R10+R11</f>
        <v>7370</v>
      </c>
      <c r="S17" s="16"/>
    </row>
    <row r="18" ht="33" customHeight="1"/>
    <row r="19" spans="1:19" ht="18.75">
      <c r="A19" s="4"/>
      <c r="B19" s="4"/>
      <c r="C19" s="134"/>
      <c r="D19" s="134" t="str">
        <f>Денихівська!F27</f>
        <v>Інспектор ВК</v>
      </c>
      <c r="E19" s="134"/>
      <c r="F19" s="134"/>
      <c r="G19" s="134"/>
      <c r="H19" s="134"/>
      <c r="I19" s="134"/>
      <c r="J19" s="134"/>
      <c r="K19" s="134" t="str">
        <f>Денихівська!N27</f>
        <v>Тетяна ПРИЩЕПА</v>
      </c>
      <c r="L19" s="134"/>
      <c r="M19" s="134"/>
      <c r="N19" s="4"/>
      <c r="O19" s="4"/>
      <c r="P19" s="4"/>
      <c r="Q19" s="4"/>
      <c r="R19" s="4"/>
      <c r="S19" s="4"/>
    </row>
    <row r="20" spans="1:19" ht="18.75">
      <c r="A20" s="4"/>
      <c r="B20" s="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4"/>
      <c r="O20" s="4"/>
      <c r="P20" s="4"/>
      <c r="Q20" s="4"/>
      <c r="R20" s="4"/>
      <c r="S20" s="4"/>
    </row>
    <row r="21" spans="1:19" ht="18.75">
      <c r="A21" s="4"/>
      <c r="B21" s="4"/>
      <c r="C21" s="134"/>
      <c r="D21" s="134" t="str">
        <f>Денихівська!F29</f>
        <v>Економіст</v>
      </c>
      <c r="E21" s="134"/>
      <c r="F21" s="134"/>
      <c r="G21" s="134"/>
      <c r="H21" s="134"/>
      <c r="I21" s="134"/>
      <c r="J21" s="134"/>
      <c r="K21" s="134" t="str">
        <f>Денихівська!N29</f>
        <v>Галина ЛУЧКО</v>
      </c>
      <c r="L21" s="134"/>
      <c r="M21" s="134"/>
      <c r="N21" s="4"/>
      <c r="O21" s="4"/>
      <c r="P21" s="4"/>
      <c r="Q21" s="4"/>
      <c r="R21" s="4"/>
      <c r="S21" s="4"/>
    </row>
    <row r="22" spans="1:19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0" ht="15.75">
      <c r="A27" s="4"/>
      <c r="B27" s="4"/>
      <c r="C27" s="4"/>
      <c r="D27" s="250"/>
      <c r="E27" s="250">
        <f>E7</f>
        <v>0</v>
      </c>
      <c r="F27" s="250"/>
      <c r="G27" s="250"/>
      <c r="H27" s="250"/>
      <c r="I27" s="250"/>
      <c r="J27" s="250"/>
      <c r="K27" s="250"/>
      <c r="L27" s="250">
        <f>L6/2+L7/2</f>
        <v>0</v>
      </c>
      <c r="M27" s="250">
        <f>M10</f>
        <v>0</v>
      </c>
      <c r="N27" s="250">
        <f>N6/2+N7/2+N8+N11</f>
        <v>2386.95</v>
      </c>
      <c r="O27" s="250"/>
      <c r="P27" s="250">
        <f>P9/2</f>
        <v>170.70000000000002</v>
      </c>
      <c r="Q27" s="250">
        <f>Q8</f>
        <v>7707.2</v>
      </c>
      <c r="R27" s="250"/>
      <c r="S27" s="250"/>
      <c r="T27" s="249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sheetProtection/>
  <mergeCells count="11">
    <mergeCell ref="L1:N1"/>
    <mergeCell ref="O1:Q1"/>
    <mergeCell ref="A4:S4"/>
    <mergeCell ref="A1:A2"/>
    <mergeCell ref="B1:B2"/>
    <mergeCell ref="C1:C2"/>
    <mergeCell ref="D1:D2"/>
    <mergeCell ref="R1:R2"/>
    <mergeCell ref="S1:S2"/>
    <mergeCell ref="E1:J1"/>
    <mergeCell ref="K1:K2"/>
  </mergeCells>
  <printOptions/>
  <pageMargins left="0.35433070866141736" right="0.15748031496062992" top="0.6299212598425197" bottom="0.984251968503937" header="0.2755905511811024" footer="0.5118110236220472"/>
  <pageSetup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Z29"/>
  <sheetViews>
    <sheetView view="pageBreakPreview" zoomScale="80" zoomScaleNormal="75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8.00390625" style="0" customWidth="1"/>
    <col min="4" max="4" width="10.375" style="0" bestFit="1" customWidth="1"/>
    <col min="5" max="5" width="8.375" style="0" customWidth="1"/>
    <col min="7" max="7" width="8.125" style="0" customWidth="1"/>
    <col min="8" max="10" width="8.625" style="0" customWidth="1"/>
    <col min="11" max="11" width="11.125" style="0" customWidth="1"/>
    <col min="12" max="12" width="9.00390625" style="0" customWidth="1"/>
    <col min="13" max="13" width="7.375" style="0" customWidth="1"/>
    <col min="14" max="14" width="10.125" style="0" customWidth="1"/>
    <col min="15" max="15" width="8.25390625" style="0" customWidth="1"/>
    <col min="16" max="16" width="10.00390625" style="0" customWidth="1"/>
    <col min="17" max="17" width="12.375" style="0" customWidth="1"/>
    <col min="18" max="18" width="13.75390625" style="0" customWidth="1"/>
    <col min="20" max="20" width="0.12890625" style="0" customWidth="1"/>
  </cols>
  <sheetData>
    <row r="1" spans="1:19" ht="14.2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89.25" customHeight="1">
      <c r="A2" s="608"/>
      <c r="B2" s="608"/>
      <c r="C2" s="608"/>
      <c r="D2" s="608"/>
      <c r="E2" s="50" t="s">
        <v>239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25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Y3" s="18"/>
    </row>
    <row r="4" spans="1:25" ht="24.75" customHeight="1">
      <c r="A4" s="621" t="s">
        <v>137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18"/>
    </row>
    <row r="5" spans="1:25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Y5" s="18"/>
    </row>
    <row r="6" spans="1:19" s="67" customFormat="1" ht="37.5" customHeight="1" hidden="1">
      <c r="A6" s="220">
        <v>1</v>
      </c>
      <c r="B6" s="218" t="s">
        <v>180</v>
      </c>
      <c r="C6" s="209"/>
      <c r="D6" s="213"/>
      <c r="E6" s="213"/>
      <c r="F6" s="216"/>
      <c r="G6" s="213"/>
      <c r="H6" s="213"/>
      <c r="I6" s="213"/>
      <c r="J6" s="213"/>
      <c r="K6" s="213">
        <f aca="true" t="shared" si="0" ref="K6:K11">SUM(D6:J6)</f>
        <v>0</v>
      </c>
      <c r="L6" s="213"/>
      <c r="M6" s="213"/>
      <c r="N6" s="213">
        <f>K6*30%</f>
        <v>0</v>
      </c>
      <c r="O6" s="213"/>
      <c r="P6" s="213"/>
      <c r="Q6" s="213"/>
      <c r="R6" s="214">
        <f aca="true" t="shared" si="1" ref="R6:R11">SUM(K6:P6)*C6</f>
        <v>0</v>
      </c>
      <c r="S6" s="129">
        <v>11</v>
      </c>
    </row>
    <row r="7" spans="1:26" ht="19.5" customHeight="1">
      <c r="A7" s="431">
        <v>1</v>
      </c>
      <c r="B7" s="422" t="s">
        <v>161</v>
      </c>
      <c r="C7" s="409"/>
      <c r="D7" s="399">
        <f>6567</f>
        <v>6567</v>
      </c>
      <c r="E7" s="399"/>
      <c r="F7" s="432"/>
      <c r="G7" s="399"/>
      <c r="H7" s="399"/>
      <c r="I7" s="399"/>
      <c r="J7" s="399"/>
      <c r="K7" s="399">
        <f t="shared" si="0"/>
        <v>6567</v>
      </c>
      <c r="L7" s="399"/>
      <c r="M7" s="399"/>
      <c r="N7" s="399">
        <f>K7*30%</f>
        <v>1970.1</v>
      </c>
      <c r="O7" s="399"/>
      <c r="P7" s="399"/>
      <c r="Q7" s="399">
        <f>20000-(D7+N7)*C7</f>
        <v>20000</v>
      </c>
      <c r="R7" s="402">
        <f>SUM(K7:P7)*C7+Q7</f>
        <v>20000</v>
      </c>
      <c r="S7" s="16">
        <v>13</v>
      </c>
      <c r="U7" s="67"/>
      <c r="V7" s="67"/>
      <c r="W7" s="67"/>
      <c r="X7" s="67"/>
      <c r="Y7" s="67"/>
      <c r="Z7" s="67"/>
    </row>
    <row r="8" spans="1:26" ht="18" customHeight="1">
      <c r="A8" s="431">
        <v>2</v>
      </c>
      <c r="B8" s="404" t="s">
        <v>97</v>
      </c>
      <c r="C8" s="409">
        <v>1</v>
      </c>
      <c r="D8" s="399">
        <f>5265</f>
        <v>5265</v>
      </c>
      <c r="E8" s="399"/>
      <c r="F8" s="432"/>
      <c r="G8" s="399"/>
      <c r="H8" s="399"/>
      <c r="I8" s="399"/>
      <c r="J8" s="399"/>
      <c r="K8" s="399">
        <f t="shared" si="0"/>
        <v>5265</v>
      </c>
      <c r="L8" s="399"/>
      <c r="M8" s="399"/>
      <c r="N8" s="399">
        <f>K8*30%</f>
        <v>1579.5</v>
      </c>
      <c r="O8" s="399"/>
      <c r="P8" s="399"/>
      <c r="Q8" s="399">
        <f>13500-(D8+N8)*C8</f>
        <v>6655.5</v>
      </c>
      <c r="R8" s="402">
        <f>SUM(K8:P8)*C8+Q8</f>
        <v>13500</v>
      </c>
      <c r="S8" s="16">
        <v>10</v>
      </c>
      <c r="U8" s="67"/>
      <c r="V8" s="67"/>
      <c r="W8" s="67"/>
      <c r="X8" s="67"/>
      <c r="Y8" s="67"/>
      <c r="Z8" s="67"/>
    </row>
    <row r="9" spans="1:26" ht="19.5" customHeight="1" hidden="1">
      <c r="A9" s="431"/>
      <c r="B9" s="15"/>
      <c r="C9" s="409"/>
      <c r="D9" s="399"/>
      <c r="E9" s="399"/>
      <c r="F9" s="432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402"/>
      <c r="S9" s="16"/>
      <c r="U9" s="67"/>
      <c r="V9" s="67"/>
      <c r="W9" s="67"/>
      <c r="X9" s="67"/>
      <c r="Y9" s="67"/>
      <c r="Z9" s="67"/>
    </row>
    <row r="10" spans="1:26" ht="19.5" customHeight="1">
      <c r="A10" s="431">
        <v>3</v>
      </c>
      <c r="B10" s="416" t="s">
        <v>156</v>
      </c>
      <c r="C10" s="409">
        <v>1</v>
      </c>
      <c r="D10" s="399">
        <f>6700*1</f>
        <v>6700</v>
      </c>
      <c r="E10" s="399"/>
      <c r="F10" s="399"/>
      <c r="G10" s="399"/>
      <c r="H10" s="399"/>
      <c r="I10" s="399"/>
      <c r="J10" s="399"/>
      <c r="K10" s="399">
        <f t="shared" si="0"/>
        <v>6700</v>
      </c>
      <c r="L10" s="399"/>
      <c r="M10" s="399"/>
      <c r="N10" s="399"/>
      <c r="O10" s="399"/>
      <c r="P10" s="399">
        <f>3414*10%</f>
        <v>341.40000000000003</v>
      </c>
      <c r="Q10" s="399"/>
      <c r="R10" s="402">
        <f t="shared" si="1"/>
        <v>7041.4</v>
      </c>
      <c r="S10" s="16">
        <v>3</v>
      </c>
      <c r="U10" s="67"/>
      <c r="V10" s="67"/>
      <c r="W10" s="67"/>
      <c r="X10" s="67"/>
      <c r="Y10" s="67"/>
      <c r="Z10" s="67"/>
    </row>
    <row r="11" spans="1:26" ht="19.5" customHeight="1">
      <c r="A11" s="431">
        <v>4</v>
      </c>
      <c r="B11" s="15" t="s">
        <v>194</v>
      </c>
      <c r="C11" s="409">
        <v>0.5</v>
      </c>
      <c r="D11" s="399">
        <f>6700*1.2</f>
        <v>8040</v>
      </c>
      <c r="E11" s="399"/>
      <c r="F11" s="399"/>
      <c r="G11" s="399"/>
      <c r="H11" s="399"/>
      <c r="I11" s="399"/>
      <c r="J11" s="399"/>
      <c r="K11" s="399">
        <f t="shared" si="0"/>
        <v>8040</v>
      </c>
      <c r="L11" s="399"/>
      <c r="M11" s="460"/>
      <c r="N11" s="399"/>
      <c r="O11" s="399"/>
      <c r="P11" s="399"/>
      <c r="Q11" s="399"/>
      <c r="R11" s="402">
        <f t="shared" si="1"/>
        <v>4020</v>
      </c>
      <c r="S11" s="16">
        <v>3</v>
      </c>
      <c r="U11" s="67"/>
      <c r="V11" s="67"/>
      <c r="W11" s="67"/>
      <c r="X11" s="67"/>
      <c r="Y11" s="67"/>
      <c r="Z11" s="67"/>
    </row>
    <row r="12" spans="1:26" ht="19.5" customHeight="1">
      <c r="A12" s="10"/>
      <c r="B12" s="15"/>
      <c r="C12" s="409"/>
      <c r="D12" s="399"/>
      <c r="E12" s="399"/>
      <c r="F12" s="399"/>
      <c r="G12" s="399"/>
      <c r="H12" s="399"/>
      <c r="I12" s="399"/>
      <c r="J12" s="399"/>
      <c r="K12" s="399"/>
      <c r="L12" s="399"/>
      <c r="M12" s="460"/>
      <c r="N12" s="399"/>
      <c r="O12" s="399"/>
      <c r="P12" s="399"/>
      <c r="Q12" s="399"/>
      <c r="R12" s="402"/>
      <c r="S12" s="16"/>
      <c r="U12" s="67"/>
      <c r="V12" s="67"/>
      <c r="W12" s="67"/>
      <c r="X12" s="67"/>
      <c r="Y12" s="67"/>
      <c r="Z12" s="67"/>
    </row>
    <row r="13" spans="1:26" ht="19.5" customHeight="1">
      <c r="A13" s="10"/>
      <c r="B13" s="20" t="s">
        <v>131</v>
      </c>
      <c r="C13" s="428">
        <f>SUM(C6:C11)</f>
        <v>2.5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30">
        <f>R8+R9+R10+R11</f>
        <v>24561.4</v>
      </c>
      <c r="S13" s="16"/>
      <c r="U13" s="67"/>
      <c r="V13" s="67"/>
      <c r="W13" s="67"/>
      <c r="X13" s="67"/>
      <c r="Y13" s="67"/>
      <c r="Z13" s="67"/>
    </row>
    <row r="14" spans="1:19" ht="19.5" customHeight="1">
      <c r="A14" s="10"/>
      <c r="B14" s="20" t="s">
        <v>20</v>
      </c>
      <c r="C14" s="428">
        <f>SUM(C6:C7)</f>
        <v>0</v>
      </c>
      <c r="D14" s="450"/>
      <c r="E14" s="450"/>
      <c r="F14" s="45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30">
        <f>0</f>
        <v>0</v>
      </c>
      <c r="S14" s="16"/>
    </row>
    <row r="15" spans="1:19" ht="19.5" customHeight="1">
      <c r="A15" s="10"/>
      <c r="B15" s="20" t="s">
        <v>16</v>
      </c>
      <c r="C15" s="428">
        <f>SUM(C8:C9)</f>
        <v>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30">
        <f>R8+R9</f>
        <v>13500</v>
      </c>
      <c r="S15" s="16"/>
    </row>
    <row r="16" spans="1:19" ht="19.5" customHeight="1">
      <c r="A16" s="10"/>
      <c r="B16" s="20" t="s">
        <v>22</v>
      </c>
      <c r="C16" s="428">
        <f>C10</f>
        <v>1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30">
        <f>R10</f>
        <v>7041.4</v>
      </c>
      <c r="S16" s="16"/>
    </row>
    <row r="17" spans="1:19" ht="19.5" customHeight="1">
      <c r="A17" s="10"/>
      <c r="B17" s="20" t="s">
        <v>21</v>
      </c>
      <c r="C17" s="428">
        <f>C11</f>
        <v>0.5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30">
        <f>R11</f>
        <v>4020</v>
      </c>
      <c r="S17" s="16"/>
    </row>
    <row r="19" spans="2:19" ht="18.75">
      <c r="B19" s="4"/>
      <c r="C19" s="4"/>
      <c r="D19" s="140"/>
      <c r="E19" s="140"/>
      <c r="F19" s="140"/>
      <c r="G19" s="140"/>
      <c r="H19" s="140"/>
      <c r="I19" s="140"/>
      <c r="J19" s="140"/>
      <c r="K19" s="140"/>
      <c r="L19" s="140"/>
      <c r="M19" s="4"/>
      <c r="N19" s="4"/>
      <c r="O19" s="4"/>
      <c r="P19" s="4"/>
      <c r="Q19" s="4"/>
      <c r="R19" s="4"/>
      <c r="S19" s="4"/>
    </row>
    <row r="20" spans="2:19" ht="18.75">
      <c r="B20" s="4"/>
      <c r="C20" s="4"/>
      <c r="D20" s="140"/>
      <c r="E20" s="140" t="str">
        <f>Денихівська!F27</f>
        <v>Інспектор ВК</v>
      </c>
      <c r="F20" s="140"/>
      <c r="G20" s="140"/>
      <c r="H20" s="140"/>
      <c r="I20" s="140"/>
      <c r="J20" s="140"/>
      <c r="K20" s="140" t="str">
        <f>Денихівська!N27</f>
        <v>Тетяна ПРИЩЕПА</v>
      </c>
      <c r="L20" s="140"/>
      <c r="M20" s="4"/>
      <c r="N20" s="4"/>
      <c r="O20" s="4"/>
      <c r="P20" s="4"/>
      <c r="Q20" s="4"/>
      <c r="R20" s="4"/>
      <c r="S20" s="4"/>
    </row>
    <row r="21" spans="2:19" ht="18.75">
      <c r="B21" s="4"/>
      <c r="C21" s="4"/>
      <c r="D21" s="140"/>
      <c r="E21" s="140"/>
      <c r="F21" s="140"/>
      <c r="G21" s="140"/>
      <c r="H21" s="140"/>
      <c r="I21" s="140"/>
      <c r="J21" s="140"/>
      <c r="K21" s="140"/>
      <c r="L21" s="140"/>
      <c r="M21" s="4"/>
      <c r="N21" s="4"/>
      <c r="O21" s="4"/>
      <c r="P21" s="4"/>
      <c r="Q21" s="4"/>
      <c r="R21" s="4"/>
      <c r="S21" s="4"/>
    </row>
    <row r="22" spans="2:19" ht="18.75">
      <c r="B22" s="4"/>
      <c r="C22" s="4"/>
      <c r="D22" s="140"/>
      <c r="E22" s="140" t="str">
        <f>Денихівська!F29</f>
        <v>Економіст</v>
      </c>
      <c r="F22" s="140"/>
      <c r="G22" s="140"/>
      <c r="H22" s="140"/>
      <c r="I22" s="140"/>
      <c r="J22" s="140"/>
      <c r="K22" s="140" t="str">
        <f>Денихівська!N29</f>
        <v>Галина ЛУЧКО</v>
      </c>
      <c r="L22" s="140"/>
      <c r="M22" s="4"/>
      <c r="N22" s="4"/>
      <c r="O22" s="4"/>
      <c r="P22" s="4"/>
      <c r="Q22" s="4"/>
      <c r="R22" s="4"/>
      <c r="S22" s="4"/>
    </row>
    <row r="23" spans="2:19" ht="15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5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5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5.75">
      <c r="B28" s="4"/>
      <c r="C28" s="4"/>
      <c r="D28" s="4"/>
      <c r="E28" s="250">
        <f>E7</f>
        <v>0</v>
      </c>
      <c r="F28" s="250"/>
      <c r="G28" s="250"/>
      <c r="H28" s="250"/>
      <c r="I28" s="250"/>
      <c r="J28" s="250"/>
      <c r="K28" s="250"/>
      <c r="L28" s="250">
        <f>L6/2+L7/2</f>
        <v>0</v>
      </c>
      <c r="M28" s="250">
        <f>M11</f>
        <v>0</v>
      </c>
      <c r="N28" s="250">
        <f>N6/2+N7/2+N8+N9</f>
        <v>2564.55</v>
      </c>
      <c r="O28" s="250"/>
      <c r="P28" s="250">
        <f>P10</f>
        <v>341.40000000000003</v>
      </c>
      <c r="Q28" s="250">
        <f>Q8+Q9</f>
        <v>6655.5</v>
      </c>
      <c r="R28" s="250"/>
      <c r="S28" s="250"/>
    </row>
    <row r="29" spans="2:19" ht="15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sheetProtection/>
  <mergeCells count="11">
    <mergeCell ref="L1:N1"/>
    <mergeCell ref="O1:Q1"/>
    <mergeCell ref="A4:S4"/>
    <mergeCell ref="A1:A2"/>
    <mergeCell ref="B1:B2"/>
    <mergeCell ref="C1:C2"/>
    <mergeCell ref="D1:D2"/>
    <mergeCell ref="R1:R2"/>
    <mergeCell ref="S1:S2"/>
    <mergeCell ref="E1:J1"/>
    <mergeCell ref="K1:K2"/>
  </mergeCells>
  <printOptions/>
  <pageMargins left="0.3937007874015748" right="0.15748031496062992" top="0.7480314960629921" bottom="0.984251968503937" header="0.2755905511811024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W143"/>
  <sheetViews>
    <sheetView view="pageBreakPreview" zoomScale="80" zoomScaleNormal="75" zoomScaleSheetLayoutView="80" workbookViewId="0" topLeftCell="A102">
      <selection activeCell="C134" sqref="C134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9.375" style="55" bestFit="1" customWidth="1"/>
    <col min="4" max="4" width="10.125" style="0" customWidth="1"/>
    <col min="5" max="5" width="8.875" style="0" customWidth="1"/>
    <col min="6" max="7" width="7.25390625" style="0" customWidth="1"/>
    <col min="8" max="8" width="7.875" style="0" customWidth="1"/>
    <col min="9" max="9" width="10.125" style="0" customWidth="1"/>
    <col min="10" max="10" width="7.75390625" style="0" customWidth="1"/>
    <col min="11" max="11" width="10.875" style="0" customWidth="1"/>
    <col min="12" max="12" width="10.625" style="0" customWidth="1"/>
    <col min="13" max="13" width="7.00390625" style="0" customWidth="1"/>
    <col min="14" max="14" width="11.125" style="0" customWidth="1"/>
    <col min="15" max="15" width="7.875" style="0" customWidth="1"/>
    <col min="16" max="16" width="10.125" style="0" bestFit="1" customWidth="1"/>
    <col min="17" max="17" width="12.25390625" style="0" customWidth="1"/>
    <col min="18" max="18" width="14.25390625" style="0" customWidth="1"/>
    <col min="19" max="19" width="10.625" style="0" customWidth="1"/>
    <col min="20" max="20" width="11.625" style="0" customWidth="1"/>
    <col min="21" max="21" width="11.375" style="0" customWidth="1"/>
    <col min="22" max="22" width="12.125" style="0" customWidth="1"/>
  </cols>
  <sheetData>
    <row r="1" spans="1:19" ht="14.25" customHeight="1">
      <c r="A1" s="607" t="s">
        <v>122</v>
      </c>
      <c r="B1" s="607" t="s">
        <v>1</v>
      </c>
      <c r="C1" s="641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76.5" customHeight="1">
      <c r="A2" s="608"/>
      <c r="B2" s="608"/>
      <c r="C2" s="642"/>
      <c r="D2" s="608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19" ht="15" customHeight="1">
      <c r="A3" s="529">
        <v>1</v>
      </c>
      <c r="B3" s="530">
        <v>2</v>
      </c>
      <c r="C3" s="531">
        <v>3</v>
      </c>
      <c r="D3" s="530">
        <v>4</v>
      </c>
      <c r="E3" s="530">
        <v>5</v>
      </c>
      <c r="F3" s="532">
        <v>6</v>
      </c>
      <c r="G3" s="530">
        <v>7</v>
      </c>
      <c r="H3" s="530">
        <v>8</v>
      </c>
      <c r="I3" s="530">
        <v>9</v>
      </c>
      <c r="J3" s="530">
        <v>10</v>
      </c>
      <c r="K3" s="530">
        <v>11</v>
      </c>
      <c r="L3" s="530">
        <v>12</v>
      </c>
      <c r="M3" s="530">
        <v>13</v>
      </c>
      <c r="N3" s="530">
        <v>14</v>
      </c>
      <c r="O3" s="530">
        <v>15</v>
      </c>
      <c r="P3" s="530">
        <v>16</v>
      </c>
      <c r="Q3" s="530"/>
      <c r="R3" s="530">
        <v>17</v>
      </c>
      <c r="S3" s="530">
        <v>18</v>
      </c>
    </row>
    <row r="4" spans="1:19" ht="19.5" customHeight="1">
      <c r="A4" s="639" t="s">
        <v>38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519"/>
      <c r="R4" s="115"/>
      <c r="S4" s="116"/>
    </row>
    <row r="5" spans="1:19" ht="19.5" customHeight="1">
      <c r="A5" s="397">
        <v>1</v>
      </c>
      <c r="B5" s="461" t="s">
        <v>220</v>
      </c>
      <c r="C5" s="417">
        <v>1</v>
      </c>
      <c r="D5" s="398">
        <f>5265</f>
        <v>5265</v>
      </c>
      <c r="E5" s="398"/>
      <c r="F5" s="398"/>
      <c r="G5" s="398"/>
      <c r="H5" s="398"/>
      <c r="I5" s="398"/>
      <c r="J5" s="398"/>
      <c r="K5" s="398">
        <f>SUM(D5:J5)</f>
        <v>5265</v>
      </c>
      <c r="L5" s="398"/>
      <c r="M5" s="398"/>
      <c r="N5" s="398">
        <f>K5*30%</f>
        <v>1579.5</v>
      </c>
      <c r="O5" s="398"/>
      <c r="P5" s="398"/>
      <c r="Q5" s="399">
        <f>13500-(D5+N5)*C5</f>
        <v>6655.5</v>
      </c>
      <c r="R5" s="402">
        <f>SUM(K5:P5)*C5+Q5</f>
        <v>13500</v>
      </c>
      <c r="S5" s="418">
        <v>10</v>
      </c>
    </row>
    <row r="6" spans="1:19" ht="18.75" hidden="1">
      <c r="A6" s="431"/>
      <c r="B6" s="422"/>
      <c r="C6" s="409"/>
      <c r="D6" s="398"/>
      <c r="E6" s="399"/>
      <c r="F6" s="399"/>
      <c r="G6" s="399"/>
      <c r="H6" s="399"/>
      <c r="I6" s="399"/>
      <c r="J6" s="399"/>
      <c r="K6" s="398"/>
      <c r="L6" s="399"/>
      <c r="M6" s="399"/>
      <c r="N6" s="398"/>
      <c r="O6" s="399"/>
      <c r="P6" s="399"/>
      <c r="Q6" s="399"/>
      <c r="R6" s="402"/>
      <c r="S6" s="16"/>
    </row>
    <row r="7" spans="1:19" ht="19.5" customHeight="1">
      <c r="A7" s="431">
        <v>2</v>
      </c>
      <c r="B7" s="422" t="s">
        <v>17</v>
      </c>
      <c r="C7" s="409">
        <f>0.75-0.25</f>
        <v>0.5</v>
      </c>
      <c r="D7" s="399">
        <f>6700*1</f>
        <v>6700</v>
      </c>
      <c r="E7" s="399"/>
      <c r="F7" s="399"/>
      <c r="G7" s="399"/>
      <c r="H7" s="399"/>
      <c r="I7" s="399"/>
      <c r="J7" s="399"/>
      <c r="K7" s="398">
        <f>SUM(D7:J7)</f>
        <v>6700</v>
      </c>
      <c r="L7" s="399"/>
      <c r="M7" s="399"/>
      <c r="N7" s="399"/>
      <c r="O7" s="399"/>
      <c r="P7" s="399"/>
      <c r="Q7" s="399"/>
      <c r="R7" s="402">
        <f>SUM(K7:P7)*C7</f>
        <v>3350</v>
      </c>
      <c r="S7" s="16">
        <v>3</v>
      </c>
    </row>
    <row r="8" spans="1:19" ht="19.5" customHeight="1">
      <c r="A8" s="635" t="s">
        <v>41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517"/>
      <c r="R8" s="462"/>
      <c r="S8" s="463"/>
    </row>
    <row r="9" spans="1:19" ht="19.5" customHeight="1">
      <c r="A9" s="397">
        <v>1</v>
      </c>
      <c r="B9" s="461" t="s">
        <v>220</v>
      </c>
      <c r="C9" s="417">
        <v>1</v>
      </c>
      <c r="D9" s="398">
        <f>4456</f>
        <v>4456</v>
      </c>
      <c r="E9" s="398"/>
      <c r="F9" s="398"/>
      <c r="G9" s="398"/>
      <c r="H9" s="398"/>
      <c r="I9" s="398"/>
      <c r="J9" s="398"/>
      <c r="K9" s="398">
        <f>SUM(D9:J9)</f>
        <v>4456</v>
      </c>
      <c r="L9" s="398"/>
      <c r="M9" s="398"/>
      <c r="N9" s="398"/>
      <c r="O9" s="398"/>
      <c r="P9" s="398"/>
      <c r="Q9" s="399">
        <f>13500-(D9+N9)*C9</f>
        <v>9044</v>
      </c>
      <c r="R9" s="402">
        <f>SUM(K9:P9)*C9+Q9</f>
        <v>13500</v>
      </c>
      <c r="S9" s="418">
        <v>7</v>
      </c>
    </row>
    <row r="10" spans="1:19" ht="18.75" hidden="1">
      <c r="A10" s="431"/>
      <c r="B10" s="422"/>
      <c r="C10" s="409"/>
      <c r="D10" s="398"/>
      <c r="E10" s="399"/>
      <c r="F10" s="399"/>
      <c r="G10" s="399"/>
      <c r="H10" s="399"/>
      <c r="I10" s="399"/>
      <c r="J10" s="399"/>
      <c r="K10" s="398"/>
      <c r="L10" s="399"/>
      <c r="M10" s="399"/>
      <c r="N10" s="398"/>
      <c r="O10" s="399"/>
      <c r="P10" s="399"/>
      <c r="Q10" s="399"/>
      <c r="R10" s="402"/>
      <c r="S10" s="16"/>
    </row>
    <row r="11" spans="1:19" ht="19.5" customHeight="1">
      <c r="A11" s="431">
        <v>2</v>
      </c>
      <c r="B11" s="422" t="s">
        <v>17</v>
      </c>
      <c r="C11" s="409">
        <f>0.75-0.25</f>
        <v>0.5</v>
      </c>
      <c r="D11" s="399">
        <f>6700*1</f>
        <v>6700</v>
      </c>
      <c r="E11" s="399"/>
      <c r="F11" s="399"/>
      <c r="G11" s="399"/>
      <c r="H11" s="399"/>
      <c r="I11" s="399"/>
      <c r="J11" s="399"/>
      <c r="K11" s="398">
        <f>SUM(D11:J11)</f>
        <v>6700</v>
      </c>
      <c r="L11" s="399"/>
      <c r="M11" s="399"/>
      <c r="N11" s="399"/>
      <c r="O11" s="399"/>
      <c r="P11" s="399"/>
      <c r="Q11" s="399"/>
      <c r="R11" s="402">
        <f>SUM(K11:P11)*C11</f>
        <v>3350</v>
      </c>
      <c r="S11" s="16">
        <v>3</v>
      </c>
    </row>
    <row r="12" spans="1:19" ht="19.5" customHeight="1">
      <c r="A12" s="635" t="s">
        <v>42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517"/>
      <c r="R12" s="464"/>
      <c r="S12" s="465"/>
    </row>
    <row r="13" spans="1:19" ht="19.5" customHeight="1">
      <c r="A13" s="397">
        <v>1</v>
      </c>
      <c r="B13" s="461" t="s">
        <v>182</v>
      </c>
      <c r="C13" s="417">
        <v>1</v>
      </c>
      <c r="D13" s="398">
        <f>5265</f>
        <v>5265</v>
      </c>
      <c r="E13" s="398"/>
      <c r="F13" s="398"/>
      <c r="G13" s="398"/>
      <c r="H13" s="398"/>
      <c r="I13" s="398"/>
      <c r="J13" s="398"/>
      <c r="K13" s="398">
        <f>SUM(D13:J13)</f>
        <v>5265</v>
      </c>
      <c r="L13" s="398"/>
      <c r="M13" s="398"/>
      <c r="N13" s="398">
        <f>K13*30%</f>
        <v>1579.5</v>
      </c>
      <c r="O13" s="398"/>
      <c r="P13" s="398"/>
      <c r="Q13" s="399">
        <f>13500-(D13+N13)*C13</f>
        <v>6655.5</v>
      </c>
      <c r="R13" s="402">
        <f>SUM(K13:P13)*C13+Q13</f>
        <v>13500</v>
      </c>
      <c r="S13" s="418">
        <v>10</v>
      </c>
    </row>
    <row r="14" spans="1:19" ht="19.5" customHeight="1">
      <c r="A14" s="431">
        <v>2</v>
      </c>
      <c r="B14" s="422" t="s">
        <v>17</v>
      </c>
      <c r="C14" s="409">
        <v>0.5</v>
      </c>
      <c r="D14" s="399">
        <f>6700*1</f>
        <v>6700</v>
      </c>
      <c r="E14" s="399"/>
      <c r="F14" s="399"/>
      <c r="G14" s="399"/>
      <c r="H14" s="399"/>
      <c r="I14" s="399"/>
      <c r="J14" s="399"/>
      <c r="K14" s="398">
        <f>SUM(D14:J14)</f>
        <v>6700</v>
      </c>
      <c r="L14" s="399"/>
      <c r="M14" s="399"/>
      <c r="N14" s="399"/>
      <c r="O14" s="399"/>
      <c r="P14" s="399"/>
      <c r="Q14" s="399"/>
      <c r="R14" s="402">
        <f>SUM(K14:P14)*C14</f>
        <v>3350</v>
      </c>
      <c r="S14" s="16">
        <v>3</v>
      </c>
    </row>
    <row r="15" spans="1:19" ht="19.5" customHeight="1">
      <c r="A15" s="635" t="s">
        <v>44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517"/>
      <c r="R15" s="464"/>
      <c r="S15" s="465"/>
    </row>
    <row r="16" spans="1:19" ht="19.5" customHeight="1">
      <c r="A16" s="397">
        <v>1</v>
      </c>
      <c r="B16" s="461" t="s">
        <v>220</v>
      </c>
      <c r="C16" s="417">
        <v>1</v>
      </c>
      <c r="D16" s="398">
        <f>4456</f>
        <v>4456</v>
      </c>
      <c r="E16" s="398"/>
      <c r="F16" s="398"/>
      <c r="G16" s="398"/>
      <c r="H16" s="398"/>
      <c r="I16" s="398"/>
      <c r="J16" s="398"/>
      <c r="K16" s="398">
        <f>SUM(D16:J16)</f>
        <v>4456</v>
      </c>
      <c r="L16" s="398"/>
      <c r="M16" s="398"/>
      <c r="N16" s="398">
        <f>K16*10%</f>
        <v>445.6</v>
      </c>
      <c r="O16" s="398"/>
      <c r="P16" s="398"/>
      <c r="Q16" s="399">
        <f>13500-(D16+N16)*C16</f>
        <v>8598.4</v>
      </c>
      <c r="R16" s="402">
        <f>SUM(K16:P16)*C16+Q16</f>
        <v>13500</v>
      </c>
      <c r="S16" s="418">
        <v>7</v>
      </c>
    </row>
    <row r="17" spans="1:19" ht="18.75" hidden="1">
      <c r="A17" s="431"/>
      <c r="B17" s="422"/>
      <c r="C17" s="409"/>
      <c r="D17" s="398"/>
      <c r="E17" s="399"/>
      <c r="F17" s="399"/>
      <c r="G17" s="399"/>
      <c r="H17" s="399"/>
      <c r="I17" s="399"/>
      <c r="J17" s="399"/>
      <c r="K17" s="398"/>
      <c r="L17" s="399"/>
      <c r="M17" s="399"/>
      <c r="N17" s="399"/>
      <c r="O17" s="399"/>
      <c r="P17" s="399"/>
      <c r="Q17" s="399"/>
      <c r="R17" s="402"/>
      <c r="S17" s="16"/>
    </row>
    <row r="18" spans="1:19" ht="19.5" customHeight="1">
      <c r="A18" s="431">
        <v>2</v>
      </c>
      <c r="B18" s="422" t="s">
        <v>17</v>
      </c>
      <c r="C18" s="409">
        <f>0.75-0.25</f>
        <v>0.5</v>
      </c>
      <c r="D18" s="399">
        <f>6700*1</f>
        <v>6700</v>
      </c>
      <c r="E18" s="399"/>
      <c r="F18" s="399"/>
      <c r="G18" s="399"/>
      <c r="H18" s="399"/>
      <c r="I18" s="399"/>
      <c r="J18" s="399"/>
      <c r="K18" s="398">
        <f>SUM(D18:J18)</f>
        <v>6700</v>
      </c>
      <c r="L18" s="399"/>
      <c r="M18" s="399"/>
      <c r="N18" s="399"/>
      <c r="O18" s="399"/>
      <c r="P18" s="399"/>
      <c r="Q18" s="399"/>
      <c r="R18" s="402">
        <f>SUM(K18:P18)*C18</f>
        <v>3350</v>
      </c>
      <c r="S18" s="16">
        <v>3</v>
      </c>
    </row>
    <row r="19" spans="1:19" ht="19.5" customHeight="1">
      <c r="A19" s="635" t="s">
        <v>46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517"/>
      <c r="R19" s="464"/>
      <c r="S19" s="465"/>
    </row>
    <row r="20" spans="1:19" ht="19.5" customHeight="1">
      <c r="A20" s="397">
        <v>1</v>
      </c>
      <c r="B20" s="461" t="s">
        <v>182</v>
      </c>
      <c r="C20" s="417">
        <v>1</v>
      </c>
      <c r="D20" s="398">
        <f>5005</f>
        <v>5005</v>
      </c>
      <c r="E20" s="398"/>
      <c r="F20" s="398"/>
      <c r="G20" s="398"/>
      <c r="H20" s="398"/>
      <c r="I20" s="398"/>
      <c r="J20" s="398"/>
      <c r="K20" s="398">
        <f>SUM(D20:J20)</f>
        <v>5005</v>
      </c>
      <c r="L20" s="398"/>
      <c r="M20" s="398"/>
      <c r="N20" s="398">
        <f>K20*10%</f>
        <v>500.5</v>
      </c>
      <c r="O20" s="398"/>
      <c r="P20" s="398"/>
      <c r="Q20" s="399">
        <f>13500-(D20+N20)*C20</f>
        <v>7994.5</v>
      </c>
      <c r="R20" s="402">
        <f>SUM(K20:P20)*C20+Q20</f>
        <v>13500</v>
      </c>
      <c r="S20" s="418">
        <v>9</v>
      </c>
    </row>
    <row r="21" spans="1:19" ht="19.5" customHeight="1">
      <c r="A21" s="431">
        <v>2</v>
      </c>
      <c r="B21" s="15" t="s">
        <v>17</v>
      </c>
      <c r="C21" s="409">
        <f>0.75-0.25</f>
        <v>0.5</v>
      </c>
      <c r="D21" s="399">
        <f>6700*1</f>
        <v>6700</v>
      </c>
      <c r="E21" s="399"/>
      <c r="F21" s="399"/>
      <c r="G21" s="399"/>
      <c r="H21" s="399"/>
      <c r="I21" s="399"/>
      <c r="J21" s="399"/>
      <c r="K21" s="398">
        <f>SUM(D21:J21)</f>
        <v>6700</v>
      </c>
      <c r="L21" s="399"/>
      <c r="M21" s="399"/>
      <c r="N21" s="399"/>
      <c r="O21" s="399"/>
      <c r="P21" s="399"/>
      <c r="Q21" s="399"/>
      <c r="R21" s="402">
        <f>SUM(K21:P21)*C21</f>
        <v>3350</v>
      </c>
      <c r="S21" s="16">
        <v>3</v>
      </c>
    </row>
    <row r="22" spans="1:19" ht="18.75" hidden="1">
      <c r="A22" s="431"/>
      <c r="B22" s="422"/>
      <c r="C22" s="409"/>
      <c r="D22" s="399"/>
      <c r="E22" s="399"/>
      <c r="F22" s="399"/>
      <c r="G22" s="399"/>
      <c r="H22" s="399"/>
      <c r="I22" s="399"/>
      <c r="J22" s="399"/>
      <c r="K22" s="398"/>
      <c r="L22" s="399"/>
      <c r="M22" s="399"/>
      <c r="N22" s="399"/>
      <c r="O22" s="399"/>
      <c r="P22" s="399"/>
      <c r="Q22" s="399"/>
      <c r="R22" s="402"/>
      <c r="S22" s="16"/>
    </row>
    <row r="23" spans="1:19" ht="19.5" customHeight="1">
      <c r="A23" s="635" t="s">
        <v>43</v>
      </c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517"/>
      <c r="R23" s="464"/>
      <c r="S23" s="465"/>
    </row>
    <row r="24" spans="1:19" s="122" customFormat="1" ht="19.5" customHeight="1">
      <c r="A24" s="397">
        <v>1</v>
      </c>
      <c r="B24" s="461" t="s">
        <v>182</v>
      </c>
      <c r="C24" s="417">
        <v>1</v>
      </c>
      <c r="D24" s="398">
        <f>5265</f>
        <v>5265</v>
      </c>
      <c r="E24" s="398"/>
      <c r="F24" s="398"/>
      <c r="G24" s="398"/>
      <c r="H24" s="398"/>
      <c r="I24" s="398"/>
      <c r="J24" s="398"/>
      <c r="K24" s="398">
        <f>SUM(D24:J24)</f>
        <v>5265</v>
      </c>
      <c r="L24" s="398"/>
      <c r="M24" s="398"/>
      <c r="N24" s="398">
        <f>K24*30%</f>
        <v>1579.5</v>
      </c>
      <c r="O24" s="398"/>
      <c r="P24" s="398"/>
      <c r="Q24" s="399">
        <f>13500-(D24+N24)*C24</f>
        <v>6655.5</v>
      </c>
      <c r="R24" s="402">
        <f>SUM(K24:P24)*C24+Q24</f>
        <v>13500</v>
      </c>
      <c r="S24" s="418">
        <v>10</v>
      </c>
    </row>
    <row r="25" spans="1:19" ht="19.5" customHeight="1">
      <c r="A25" s="431">
        <v>2</v>
      </c>
      <c r="B25" s="422" t="s">
        <v>17</v>
      </c>
      <c r="C25" s="409">
        <f>0.75-0.25</f>
        <v>0.5</v>
      </c>
      <c r="D25" s="399">
        <f>6700*1</f>
        <v>6700</v>
      </c>
      <c r="E25" s="399"/>
      <c r="F25" s="399"/>
      <c r="G25" s="399"/>
      <c r="H25" s="399"/>
      <c r="I25" s="399"/>
      <c r="J25" s="399"/>
      <c r="K25" s="398">
        <f>SUM(D25:J25)</f>
        <v>6700</v>
      </c>
      <c r="L25" s="399"/>
      <c r="M25" s="399"/>
      <c r="N25" s="399"/>
      <c r="O25" s="399"/>
      <c r="P25" s="399"/>
      <c r="Q25" s="399"/>
      <c r="R25" s="402">
        <f>SUM(K25:P25)*C25</f>
        <v>3350</v>
      </c>
      <c r="S25" s="16">
        <v>3</v>
      </c>
    </row>
    <row r="26" spans="1:19" ht="18.75" hidden="1">
      <c r="A26" s="431"/>
      <c r="B26" s="422"/>
      <c r="C26" s="17"/>
      <c r="D26" s="399"/>
      <c r="E26" s="399"/>
      <c r="F26" s="399"/>
      <c r="G26" s="399"/>
      <c r="H26" s="399"/>
      <c r="I26" s="399"/>
      <c r="J26" s="399"/>
      <c r="K26" s="398"/>
      <c r="L26" s="399"/>
      <c r="M26" s="399"/>
      <c r="N26" s="399"/>
      <c r="O26" s="399"/>
      <c r="P26" s="399"/>
      <c r="Q26" s="399"/>
      <c r="R26" s="402"/>
      <c r="S26" s="16"/>
    </row>
    <row r="27" spans="1:19" ht="19.5" customHeight="1">
      <c r="A27" s="635" t="s">
        <v>36</v>
      </c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517"/>
      <c r="R27" s="464"/>
      <c r="S27" s="465"/>
    </row>
    <row r="28" spans="1:19" ht="19.5" customHeight="1">
      <c r="A28" s="397">
        <v>1</v>
      </c>
      <c r="B28" s="461" t="s">
        <v>182</v>
      </c>
      <c r="C28" s="417">
        <v>1</v>
      </c>
      <c r="D28" s="398">
        <f>4456</f>
        <v>4456</v>
      </c>
      <c r="E28" s="398"/>
      <c r="F28" s="398"/>
      <c r="G28" s="398"/>
      <c r="H28" s="398"/>
      <c r="I28" s="398"/>
      <c r="J28" s="398"/>
      <c r="K28" s="398">
        <f>SUM(D28:J28)</f>
        <v>4456</v>
      </c>
      <c r="L28" s="398"/>
      <c r="M28" s="398"/>
      <c r="N28" s="398">
        <f>K28*20%</f>
        <v>891.2</v>
      </c>
      <c r="O28" s="398"/>
      <c r="P28" s="398"/>
      <c r="Q28" s="399">
        <f>13500-(D28+N28)*C28</f>
        <v>8152.8</v>
      </c>
      <c r="R28" s="402">
        <f>SUM(K28:P28)*C28+Q28</f>
        <v>13500</v>
      </c>
      <c r="S28" s="418">
        <v>7</v>
      </c>
    </row>
    <row r="29" spans="1:19" ht="19.5" customHeight="1">
      <c r="A29" s="431">
        <v>2</v>
      </c>
      <c r="B29" s="422" t="s">
        <v>17</v>
      </c>
      <c r="C29" s="409">
        <v>0.5</v>
      </c>
      <c r="D29" s="399">
        <f>6700*1</f>
        <v>6700</v>
      </c>
      <c r="E29" s="399"/>
      <c r="F29" s="399"/>
      <c r="G29" s="399"/>
      <c r="H29" s="399"/>
      <c r="I29" s="399"/>
      <c r="J29" s="399"/>
      <c r="K29" s="398">
        <f>SUM(D29:J29)</f>
        <v>6700</v>
      </c>
      <c r="L29" s="399"/>
      <c r="M29" s="399"/>
      <c r="N29" s="399"/>
      <c r="O29" s="399"/>
      <c r="P29" s="399"/>
      <c r="Q29" s="399"/>
      <c r="R29" s="402">
        <f>SUM(K29:P29)*C29</f>
        <v>3350</v>
      </c>
      <c r="S29" s="16">
        <v>3</v>
      </c>
    </row>
    <row r="30" spans="1:19" ht="18.75" hidden="1">
      <c r="A30" s="431"/>
      <c r="B30" s="422"/>
      <c r="C30" s="409"/>
      <c r="D30" s="399"/>
      <c r="E30" s="399"/>
      <c r="F30" s="399"/>
      <c r="G30" s="399"/>
      <c r="H30" s="399"/>
      <c r="I30" s="399"/>
      <c r="J30" s="399"/>
      <c r="K30" s="398"/>
      <c r="L30" s="399"/>
      <c r="M30" s="399"/>
      <c r="N30" s="399"/>
      <c r="O30" s="399"/>
      <c r="P30" s="399"/>
      <c r="Q30" s="399"/>
      <c r="R30" s="402"/>
      <c r="S30" s="16"/>
    </row>
    <row r="31" spans="1:19" ht="18" customHeight="1" hidden="1">
      <c r="A31" s="635"/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517"/>
      <c r="R31" s="464"/>
      <c r="S31" s="465"/>
    </row>
    <row r="32" spans="1:19" ht="18.75" hidden="1">
      <c r="A32" s="397"/>
      <c r="B32" s="461"/>
      <c r="C32" s="417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9"/>
      <c r="R32" s="402"/>
      <c r="S32" s="418"/>
    </row>
    <row r="33" spans="1:19" ht="18.75" hidden="1">
      <c r="A33" s="431"/>
      <c r="B33" s="422"/>
      <c r="C33" s="409"/>
      <c r="D33" s="399"/>
      <c r="E33" s="399"/>
      <c r="F33" s="399"/>
      <c r="G33" s="399"/>
      <c r="H33" s="399"/>
      <c r="I33" s="399"/>
      <c r="J33" s="399"/>
      <c r="K33" s="398"/>
      <c r="L33" s="399"/>
      <c r="M33" s="399"/>
      <c r="N33" s="399"/>
      <c r="O33" s="399"/>
      <c r="P33" s="399"/>
      <c r="Q33" s="399"/>
      <c r="R33" s="402"/>
      <c r="S33" s="16"/>
    </row>
    <row r="34" spans="1:19" ht="18" hidden="1">
      <c r="A34" s="383"/>
      <c r="B34" s="383"/>
      <c r="C34" s="466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</row>
    <row r="35" spans="1:19" ht="18" hidden="1">
      <c r="A35" s="383"/>
      <c r="B35" s="383"/>
      <c r="C35" s="466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</row>
    <row r="36" spans="1:19" ht="18" hidden="1">
      <c r="A36" s="383"/>
      <c r="B36" s="383"/>
      <c r="C36" s="466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</row>
    <row r="37" spans="1:19" ht="18.75" hidden="1">
      <c r="A37" s="24">
        <v>1</v>
      </c>
      <c r="B37" s="467">
        <v>2</v>
      </c>
      <c r="C37" s="468">
        <v>3</v>
      </c>
      <c r="D37" s="467">
        <v>4</v>
      </c>
      <c r="E37" s="467">
        <v>5</v>
      </c>
      <c r="F37" s="467">
        <v>6</v>
      </c>
      <c r="G37" s="467">
        <v>7</v>
      </c>
      <c r="H37" s="467">
        <v>8</v>
      </c>
      <c r="I37" s="467">
        <v>9</v>
      </c>
      <c r="J37" s="467">
        <v>10</v>
      </c>
      <c r="K37" s="467">
        <v>11</v>
      </c>
      <c r="L37" s="467">
        <v>12</v>
      </c>
      <c r="M37" s="467">
        <v>13</v>
      </c>
      <c r="N37" s="467">
        <v>14</v>
      </c>
      <c r="O37" s="467">
        <v>15</v>
      </c>
      <c r="P37" s="467">
        <v>16</v>
      </c>
      <c r="Q37" s="467"/>
      <c r="R37" s="467">
        <v>17</v>
      </c>
      <c r="S37" s="467">
        <v>18</v>
      </c>
    </row>
    <row r="38" spans="1:19" ht="18" customHeight="1" hidden="1">
      <c r="A38" s="635"/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517"/>
      <c r="R38" s="464"/>
      <c r="S38" s="465"/>
    </row>
    <row r="39" spans="1:19" ht="18.75" hidden="1">
      <c r="A39" s="397"/>
      <c r="B39" s="461"/>
      <c r="C39" s="417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R39" s="402"/>
      <c r="S39" s="418"/>
    </row>
    <row r="40" spans="1:19" ht="18.75" hidden="1">
      <c r="A40" s="431"/>
      <c r="B40" s="422"/>
      <c r="C40" s="17"/>
      <c r="D40" s="399"/>
      <c r="E40" s="399"/>
      <c r="F40" s="399"/>
      <c r="G40" s="399"/>
      <c r="H40" s="399"/>
      <c r="I40" s="399"/>
      <c r="J40" s="399"/>
      <c r="K40" s="398"/>
      <c r="L40" s="399"/>
      <c r="M40" s="399"/>
      <c r="N40" s="399"/>
      <c r="O40" s="399"/>
      <c r="P40" s="399"/>
      <c r="Q40" s="399"/>
      <c r="R40" s="402"/>
      <c r="S40" s="16"/>
    </row>
    <row r="41" spans="1:19" ht="5.25" customHeight="1" hidden="1">
      <c r="A41" s="635"/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517"/>
      <c r="R41" s="464"/>
      <c r="S41" s="465"/>
    </row>
    <row r="42" spans="1:19" ht="18.75" hidden="1">
      <c r="A42" s="397"/>
      <c r="B42" s="461"/>
      <c r="C42" s="417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9"/>
      <c r="R42" s="402"/>
      <c r="S42" s="418"/>
    </row>
    <row r="43" spans="1:19" ht="18.75" hidden="1">
      <c r="A43" s="431"/>
      <c r="B43" s="422"/>
      <c r="C43" s="409"/>
      <c r="D43" s="398"/>
      <c r="E43" s="399"/>
      <c r="F43" s="399"/>
      <c r="G43" s="399"/>
      <c r="H43" s="399"/>
      <c r="I43" s="399"/>
      <c r="J43" s="399"/>
      <c r="K43" s="398"/>
      <c r="L43" s="399"/>
      <c r="M43" s="399"/>
      <c r="N43" s="398"/>
      <c r="O43" s="399"/>
      <c r="P43" s="399"/>
      <c r="Q43" s="399"/>
      <c r="R43" s="402"/>
      <c r="S43" s="16"/>
    </row>
    <row r="44" spans="1:19" ht="18.75" hidden="1">
      <c r="A44" s="431"/>
      <c r="B44" s="422"/>
      <c r="C44" s="17"/>
      <c r="D44" s="399"/>
      <c r="E44" s="399"/>
      <c r="F44" s="399"/>
      <c r="G44" s="399"/>
      <c r="H44" s="399"/>
      <c r="I44" s="399"/>
      <c r="J44" s="399"/>
      <c r="K44" s="398"/>
      <c r="L44" s="399"/>
      <c r="M44" s="399"/>
      <c r="N44" s="399"/>
      <c r="O44" s="399"/>
      <c r="P44" s="399"/>
      <c r="Q44" s="399"/>
      <c r="R44" s="402"/>
      <c r="S44" s="16"/>
    </row>
    <row r="45" spans="1:19" ht="18" customHeight="1" hidden="1">
      <c r="A45" s="635"/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517"/>
      <c r="R45" s="464"/>
      <c r="S45" s="465"/>
    </row>
    <row r="46" spans="1:19" ht="18.75" hidden="1">
      <c r="A46" s="397"/>
      <c r="B46" s="461"/>
      <c r="C46" s="417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9"/>
      <c r="R46" s="402"/>
      <c r="S46" s="418"/>
    </row>
    <row r="47" spans="1:19" ht="18.75" hidden="1">
      <c r="A47" s="431"/>
      <c r="B47" s="422"/>
      <c r="C47" s="409"/>
      <c r="D47" s="399"/>
      <c r="E47" s="399"/>
      <c r="F47" s="399"/>
      <c r="G47" s="399"/>
      <c r="H47" s="399"/>
      <c r="I47" s="399"/>
      <c r="J47" s="399"/>
      <c r="K47" s="398"/>
      <c r="L47" s="399"/>
      <c r="M47" s="399"/>
      <c r="N47" s="399"/>
      <c r="O47" s="399"/>
      <c r="P47" s="399"/>
      <c r="Q47" s="399"/>
      <c r="R47" s="402"/>
      <c r="S47" s="16"/>
    </row>
    <row r="48" spans="1:19" ht="18" customHeight="1" hidden="1">
      <c r="A48" s="635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517"/>
      <c r="R48" s="464"/>
      <c r="S48" s="465"/>
    </row>
    <row r="49" spans="1:19" ht="18.75" hidden="1">
      <c r="A49" s="397"/>
      <c r="B49" s="461"/>
      <c r="C49" s="417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9"/>
      <c r="R49" s="402"/>
      <c r="S49" s="418"/>
    </row>
    <row r="50" spans="1:19" ht="18.75" hidden="1">
      <c r="A50" s="431"/>
      <c r="B50" s="422"/>
      <c r="C50" s="409"/>
      <c r="D50" s="398"/>
      <c r="E50" s="399"/>
      <c r="F50" s="399"/>
      <c r="G50" s="399"/>
      <c r="H50" s="399"/>
      <c r="I50" s="399"/>
      <c r="J50" s="399"/>
      <c r="K50" s="398"/>
      <c r="L50" s="399"/>
      <c r="M50" s="399"/>
      <c r="N50" s="399"/>
      <c r="O50" s="399"/>
      <c r="P50" s="399"/>
      <c r="Q50" s="399"/>
      <c r="R50" s="402"/>
      <c r="S50" s="16"/>
    </row>
    <row r="51" spans="1:19" ht="18.75" hidden="1">
      <c r="A51" s="431"/>
      <c r="B51" s="15"/>
      <c r="C51" s="17"/>
      <c r="D51" s="399"/>
      <c r="E51" s="399"/>
      <c r="F51" s="399"/>
      <c r="G51" s="399"/>
      <c r="H51" s="399"/>
      <c r="I51" s="399"/>
      <c r="J51" s="399"/>
      <c r="K51" s="398"/>
      <c r="L51" s="399"/>
      <c r="M51" s="399"/>
      <c r="N51" s="399"/>
      <c r="O51" s="399"/>
      <c r="P51" s="399"/>
      <c r="Q51" s="399"/>
      <c r="R51" s="402"/>
      <c r="S51" s="16"/>
    </row>
    <row r="52" spans="1:19" ht="18" customHeight="1" hidden="1">
      <c r="A52" s="635"/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517"/>
      <c r="R52" s="462"/>
      <c r="S52" s="463"/>
    </row>
    <row r="53" spans="1:19" ht="18.75" hidden="1">
      <c r="A53" s="397"/>
      <c r="B53" s="461"/>
      <c r="C53" s="417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9"/>
      <c r="R53" s="402"/>
      <c r="S53" s="418"/>
    </row>
    <row r="54" spans="1:19" ht="18.75" hidden="1">
      <c r="A54" s="431"/>
      <c r="B54" s="422"/>
      <c r="C54" s="409"/>
      <c r="D54" s="398"/>
      <c r="E54" s="399"/>
      <c r="F54" s="399"/>
      <c r="G54" s="399"/>
      <c r="H54" s="399"/>
      <c r="I54" s="399"/>
      <c r="J54" s="399"/>
      <c r="K54" s="398"/>
      <c r="L54" s="399"/>
      <c r="M54" s="399"/>
      <c r="N54" s="398"/>
      <c r="O54" s="399"/>
      <c r="P54" s="399"/>
      <c r="Q54" s="399"/>
      <c r="R54" s="402"/>
      <c r="S54" s="16"/>
    </row>
    <row r="55" spans="1:19" ht="18.75" hidden="1">
      <c r="A55" s="431"/>
      <c r="B55" s="422"/>
      <c r="C55" s="17"/>
      <c r="D55" s="399"/>
      <c r="E55" s="399"/>
      <c r="F55" s="399"/>
      <c r="G55" s="399"/>
      <c r="H55" s="399"/>
      <c r="I55" s="399"/>
      <c r="J55" s="399"/>
      <c r="K55" s="398"/>
      <c r="L55" s="399"/>
      <c r="M55" s="399"/>
      <c r="N55" s="399"/>
      <c r="O55" s="399"/>
      <c r="P55" s="399"/>
      <c r="Q55" s="399"/>
      <c r="R55" s="402"/>
      <c r="S55" s="16"/>
    </row>
    <row r="56" spans="1:19" ht="18" customHeight="1" hidden="1">
      <c r="A56" s="635"/>
      <c r="B56" s="636"/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517"/>
      <c r="R56" s="464"/>
      <c r="S56" s="465"/>
    </row>
    <row r="57" spans="1:19" ht="18.75" hidden="1">
      <c r="A57" s="397"/>
      <c r="B57" s="461"/>
      <c r="C57" s="417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9"/>
      <c r="R57" s="402"/>
      <c r="S57" s="418"/>
    </row>
    <row r="58" spans="1:19" ht="18.75" hidden="1">
      <c r="A58" s="431"/>
      <c r="B58" s="422"/>
      <c r="C58" s="409"/>
      <c r="D58" s="399"/>
      <c r="E58" s="399"/>
      <c r="F58" s="399"/>
      <c r="G58" s="399"/>
      <c r="H58" s="399"/>
      <c r="I58" s="399"/>
      <c r="J58" s="399"/>
      <c r="K58" s="398"/>
      <c r="L58" s="399"/>
      <c r="M58" s="399"/>
      <c r="N58" s="399"/>
      <c r="O58" s="399"/>
      <c r="P58" s="399"/>
      <c r="Q58" s="399"/>
      <c r="R58" s="402"/>
      <c r="S58" s="16"/>
    </row>
    <row r="59" spans="1:19" ht="18" customHeight="1" hidden="1">
      <c r="A59" s="635"/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517"/>
      <c r="R59" s="464"/>
      <c r="S59" s="465"/>
    </row>
    <row r="60" spans="1:19" ht="18.75" hidden="1">
      <c r="A60" s="397"/>
      <c r="B60" s="461"/>
      <c r="C60" s="417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9"/>
      <c r="R60" s="402"/>
      <c r="S60" s="418"/>
    </row>
    <row r="61" spans="1:19" ht="18.75" hidden="1">
      <c r="A61" s="431"/>
      <c r="B61" s="422"/>
      <c r="C61" s="17"/>
      <c r="D61" s="399"/>
      <c r="E61" s="399"/>
      <c r="F61" s="399"/>
      <c r="G61" s="399"/>
      <c r="H61" s="399"/>
      <c r="I61" s="399"/>
      <c r="J61" s="399"/>
      <c r="K61" s="398"/>
      <c r="L61" s="399"/>
      <c r="M61" s="399"/>
      <c r="N61" s="399"/>
      <c r="O61" s="399"/>
      <c r="P61" s="399"/>
      <c r="Q61" s="399"/>
      <c r="R61" s="402"/>
      <c r="S61" s="16"/>
    </row>
    <row r="62" spans="1:19" ht="15.75" customHeight="1" hidden="1">
      <c r="A62" s="635"/>
      <c r="B62" s="636"/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517"/>
      <c r="R62" s="464"/>
      <c r="S62" s="465"/>
    </row>
    <row r="63" spans="1:19" ht="18.75" customHeight="1" hidden="1">
      <c r="A63" s="397"/>
      <c r="B63" s="461"/>
      <c r="C63" s="417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9"/>
      <c r="R63" s="402"/>
      <c r="S63" s="418"/>
    </row>
    <row r="64" spans="1:19" ht="18.75" hidden="1">
      <c r="A64" s="431"/>
      <c r="B64" s="422"/>
      <c r="C64" s="409"/>
      <c r="D64" s="398"/>
      <c r="E64" s="399"/>
      <c r="F64" s="399"/>
      <c r="G64" s="399"/>
      <c r="H64" s="399"/>
      <c r="I64" s="399"/>
      <c r="J64" s="399"/>
      <c r="K64" s="398"/>
      <c r="L64" s="399"/>
      <c r="M64" s="399"/>
      <c r="N64" s="399"/>
      <c r="O64" s="399"/>
      <c r="P64" s="399"/>
      <c r="Q64" s="399"/>
      <c r="R64" s="402"/>
      <c r="S64" s="16"/>
    </row>
    <row r="65" spans="1:19" ht="18.75" customHeight="1" hidden="1">
      <c r="A65" s="431"/>
      <c r="B65" s="422"/>
      <c r="C65" s="17"/>
      <c r="D65" s="399"/>
      <c r="E65" s="399"/>
      <c r="F65" s="399"/>
      <c r="G65" s="399"/>
      <c r="H65" s="399"/>
      <c r="I65" s="399"/>
      <c r="J65" s="399"/>
      <c r="K65" s="398"/>
      <c r="L65" s="399"/>
      <c r="M65" s="399"/>
      <c r="N65" s="399"/>
      <c r="O65" s="399"/>
      <c r="P65" s="399"/>
      <c r="Q65" s="399"/>
      <c r="R65" s="402"/>
      <c r="S65" s="16"/>
    </row>
    <row r="66" spans="1:19" ht="12" customHeight="1" hidden="1">
      <c r="A66" s="635"/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517"/>
      <c r="R66" s="464"/>
      <c r="S66" s="465"/>
    </row>
    <row r="67" spans="1:19" ht="18.75" hidden="1">
      <c r="A67" s="397"/>
      <c r="B67" s="461"/>
      <c r="C67" s="417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9"/>
      <c r="R67" s="402"/>
      <c r="S67" s="418"/>
    </row>
    <row r="68" spans="1:19" ht="18.75" hidden="1">
      <c r="A68" s="397"/>
      <c r="B68" s="411"/>
      <c r="C68" s="412"/>
      <c r="D68" s="399"/>
      <c r="E68" s="399"/>
      <c r="F68" s="413"/>
      <c r="G68" s="413"/>
      <c r="H68" s="413"/>
      <c r="I68" s="413"/>
      <c r="J68" s="413"/>
      <c r="K68" s="398"/>
      <c r="L68" s="413"/>
      <c r="M68" s="413"/>
      <c r="N68" s="398"/>
      <c r="O68" s="413"/>
      <c r="P68" s="413"/>
      <c r="Q68" s="399"/>
      <c r="R68" s="402"/>
      <c r="S68" s="415"/>
    </row>
    <row r="69" spans="1:19" ht="18.75" hidden="1">
      <c r="A69" s="24">
        <v>1</v>
      </c>
      <c r="B69" s="467">
        <v>2</v>
      </c>
      <c r="C69" s="468">
        <v>3</v>
      </c>
      <c r="D69" s="467">
        <v>4</v>
      </c>
      <c r="E69" s="467">
        <v>5</v>
      </c>
      <c r="F69" s="467">
        <v>6</v>
      </c>
      <c r="G69" s="467">
        <v>7</v>
      </c>
      <c r="H69" s="467">
        <v>8</v>
      </c>
      <c r="I69" s="467">
        <v>9</v>
      </c>
      <c r="J69" s="467">
        <v>10</v>
      </c>
      <c r="K69" s="467">
        <v>11</v>
      </c>
      <c r="L69" s="467">
        <v>12</v>
      </c>
      <c r="M69" s="467">
        <v>13</v>
      </c>
      <c r="N69" s="467">
        <v>14</v>
      </c>
      <c r="O69" s="467">
        <v>15</v>
      </c>
      <c r="P69" s="467">
        <v>16</v>
      </c>
      <c r="Q69" s="467"/>
      <c r="R69" s="467">
        <v>17</v>
      </c>
      <c r="S69" s="467">
        <v>18</v>
      </c>
    </row>
    <row r="70" spans="1:19" ht="18" customHeight="1" hidden="1">
      <c r="A70" s="635"/>
      <c r="B70" s="636"/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517"/>
      <c r="R70" s="464"/>
      <c r="S70" s="465"/>
    </row>
    <row r="71" spans="1:19" ht="18.75" hidden="1">
      <c r="A71" s="397"/>
      <c r="B71" s="461"/>
      <c r="C71" s="417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9"/>
      <c r="R71" s="402"/>
      <c r="S71" s="418"/>
    </row>
    <row r="72" spans="1:19" ht="18.75" hidden="1">
      <c r="A72" s="431"/>
      <c r="B72" s="15"/>
      <c r="C72" s="17"/>
      <c r="D72" s="399"/>
      <c r="E72" s="399"/>
      <c r="F72" s="399"/>
      <c r="G72" s="399"/>
      <c r="H72" s="399"/>
      <c r="I72" s="399"/>
      <c r="J72" s="399"/>
      <c r="K72" s="398"/>
      <c r="L72" s="399"/>
      <c r="M72" s="399"/>
      <c r="N72" s="399"/>
      <c r="O72" s="399"/>
      <c r="P72" s="399"/>
      <c r="Q72" s="399"/>
      <c r="R72" s="402"/>
      <c r="S72" s="16"/>
    </row>
    <row r="73" spans="1:19" ht="18" customHeight="1" hidden="1">
      <c r="A73" s="635"/>
      <c r="B73" s="636"/>
      <c r="C73" s="636"/>
      <c r="D73" s="636"/>
      <c r="E73" s="636"/>
      <c r="F73" s="636"/>
      <c r="G73" s="636"/>
      <c r="H73" s="636"/>
      <c r="I73" s="636"/>
      <c r="J73" s="636"/>
      <c r="K73" s="636"/>
      <c r="L73" s="636"/>
      <c r="M73" s="636"/>
      <c r="N73" s="636"/>
      <c r="O73" s="636"/>
      <c r="P73" s="636"/>
      <c r="Q73" s="517"/>
      <c r="R73" s="464"/>
      <c r="S73" s="465"/>
    </row>
    <row r="74" spans="1:19" ht="18.75" hidden="1">
      <c r="A74" s="397"/>
      <c r="B74" s="461"/>
      <c r="C74" s="417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9"/>
      <c r="R74" s="402"/>
      <c r="S74" s="418"/>
    </row>
    <row r="75" spans="1:19" ht="18.75" hidden="1">
      <c r="A75" s="431"/>
      <c r="B75" s="422"/>
      <c r="C75" s="409"/>
      <c r="D75" s="398"/>
      <c r="E75" s="399"/>
      <c r="F75" s="399"/>
      <c r="G75" s="399"/>
      <c r="H75" s="399"/>
      <c r="I75" s="399"/>
      <c r="J75" s="399"/>
      <c r="K75" s="398"/>
      <c r="L75" s="399"/>
      <c r="M75" s="399"/>
      <c r="N75" s="398"/>
      <c r="O75" s="399"/>
      <c r="P75" s="399"/>
      <c r="Q75" s="399"/>
      <c r="R75" s="402"/>
      <c r="S75" s="16"/>
    </row>
    <row r="76" spans="1:19" ht="18.75" hidden="1">
      <c r="A76" s="431"/>
      <c r="B76" s="422"/>
      <c r="C76" s="17"/>
      <c r="D76" s="399"/>
      <c r="E76" s="399"/>
      <c r="F76" s="399"/>
      <c r="G76" s="399"/>
      <c r="H76" s="399"/>
      <c r="I76" s="399"/>
      <c r="J76" s="399"/>
      <c r="K76" s="398"/>
      <c r="L76" s="399"/>
      <c r="M76" s="399"/>
      <c r="N76" s="399"/>
      <c r="O76" s="399"/>
      <c r="P76" s="399"/>
      <c r="Q76" s="399"/>
      <c r="R76" s="402"/>
      <c r="S76" s="16"/>
    </row>
    <row r="77" spans="1:19" ht="18" customHeight="1" hidden="1">
      <c r="A77" s="635"/>
      <c r="B77" s="636"/>
      <c r="C77" s="636"/>
      <c r="D77" s="636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517"/>
      <c r="R77" s="464"/>
      <c r="S77" s="465"/>
    </row>
    <row r="78" spans="1:19" ht="18.75" hidden="1">
      <c r="A78" s="397"/>
      <c r="B78" s="461"/>
      <c r="C78" s="417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9"/>
      <c r="R78" s="402"/>
      <c r="S78" s="418"/>
    </row>
    <row r="79" spans="1:19" ht="18.75" hidden="1">
      <c r="A79" s="431"/>
      <c r="B79" s="422"/>
      <c r="C79" s="409"/>
      <c r="D79" s="399"/>
      <c r="E79" s="399"/>
      <c r="F79" s="399"/>
      <c r="G79" s="399"/>
      <c r="H79" s="399"/>
      <c r="I79" s="399"/>
      <c r="J79" s="399"/>
      <c r="K79" s="398"/>
      <c r="L79" s="399"/>
      <c r="M79" s="399"/>
      <c r="N79" s="398"/>
      <c r="O79" s="399"/>
      <c r="P79" s="399"/>
      <c r="Q79" s="399"/>
      <c r="R79" s="402"/>
      <c r="S79" s="16"/>
    </row>
    <row r="80" spans="1:19" ht="18.75" hidden="1">
      <c r="A80" s="431"/>
      <c r="B80" s="15"/>
      <c r="C80" s="409"/>
      <c r="D80" s="399"/>
      <c r="E80" s="399"/>
      <c r="F80" s="399"/>
      <c r="G80" s="399"/>
      <c r="H80" s="399"/>
      <c r="I80" s="399"/>
      <c r="J80" s="399"/>
      <c r="K80" s="398"/>
      <c r="L80" s="399"/>
      <c r="M80" s="399"/>
      <c r="N80" s="399"/>
      <c r="O80" s="399"/>
      <c r="P80" s="399"/>
      <c r="Q80" s="399"/>
      <c r="R80" s="402"/>
      <c r="S80" s="16"/>
    </row>
    <row r="81" spans="1:23" ht="30.75" customHeight="1" hidden="1">
      <c r="A81" s="34"/>
      <c r="B81" s="15"/>
      <c r="C81" s="17"/>
      <c r="D81" s="17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5"/>
      <c r="S81" s="16"/>
      <c r="T81" s="110"/>
      <c r="U81" s="110"/>
      <c r="V81" s="110"/>
      <c r="W81" s="110"/>
    </row>
    <row r="82" spans="1:23" ht="19.5" customHeight="1">
      <c r="A82" s="637" t="s">
        <v>29</v>
      </c>
      <c r="B82" s="638"/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518"/>
      <c r="R82" s="113"/>
      <c r="S82" s="114"/>
      <c r="T82" s="110"/>
      <c r="U82" s="110"/>
      <c r="V82" s="110"/>
      <c r="W82" s="110"/>
    </row>
    <row r="83" spans="1:23" ht="19.5" customHeight="1">
      <c r="A83" s="397">
        <v>1</v>
      </c>
      <c r="B83" s="461" t="s">
        <v>220</v>
      </c>
      <c r="C83" s="417">
        <v>1</v>
      </c>
      <c r="D83" s="398">
        <f>4456</f>
        <v>4456</v>
      </c>
      <c r="E83" s="398"/>
      <c r="F83" s="398"/>
      <c r="G83" s="398"/>
      <c r="H83" s="398"/>
      <c r="I83" s="398"/>
      <c r="J83" s="398"/>
      <c r="K83" s="398">
        <f>SUM(D83:J83)</f>
        <v>4456</v>
      </c>
      <c r="L83" s="398"/>
      <c r="M83" s="398"/>
      <c r="N83" s="398"/>
      <c r="O83" s="398"/>
      <c r="P83" s="398"/>
      <c r="Q83" s="399">
        <f>13500-(D83+N83)*C83</f>
        <v>9044</v>
      </c>
      <c r="R83" s="402">
        <f>SUM(K83:P83)*C83+Q83</f>
        <v>13500</v>
      </c>
      <c r="S83" s="418">
        <v>7</v>
      </c>
      <c r="T83" s="110"/>
      <c r="U83" s="110"/>
      <c r="V83" s="110"/>
      <c r="W83" s="110"/>
    </row>
    <row r="84" spans="1:23" ht="30.75" customHeight="1" hidden="1">
      <c r="A84" s="431"/>
      <c r="B84" s="422"/>
      <c r="C84" s="409"/>
      <c r="D84" s="398"/>
      <c r="E84" s="399"/>
      <c r="F84" s="399"/>
      <c r="G84" s="399"/>
      <c r="H84" s="399"/>
      <c r="I84" s="399"/>
      <c r="J84" s="399"/>
      <c r="K84" s="398"/>
      <c r="L84" s="399"/>
      <c r="M84" s="399"/>
      <c r="N84" s="398"/>
      <c r="O84" s="399"/>
      <c r="P84" s="399"/>
      <c r="Q84" s="399"/>
      <c r="R84" s="402"/>
      <c r="S84" s="16"/>
      <c r="T84" s="110"/>
      <c r="U84" s="110"/>
      <c r="V84" s="110"/>
      <c r="W84" s="110"/>
    </row>
    <row r="85" spans="1:23" ht="19.5" customHeight="1">
      <c r="A85" s="431">
        <v>2</v>
      </c>
      <c r="B85" s="422" t="s">
        <v>17</v>
      </c>
      <c r="C85" s="409">
        <f>0.75-0.25</f>
        <v>0.5</v>
      </c>
      <c r="D85" s="399">
        <f>6700*1</f>
        <v>6700</v>
      </c>
      <c r="E85" s="399"/>
      <c r="F85" s="399"/>
      <c r="G85" s="399"/>
      <c r="H85" s="399"/>
      <c r="I85" s="399"/>
      <c r="J85" s="399"/>
      <c r="K85" s="398">
        <f>SUM(D85:J85)</f>
        <v>6700</v>
      </c>
      <c r="L85" s="399"/>
      <c r="M85" s="399"/>
      <c r="N85" s="399"/>
      <c r="O85" s="399"/>
      <c r="P85" s="399"/>
      <c r="Q85" s="399"/>
      <c r="R85" s="402">
        <f>SUM(K85:P85)*C85</f>
        <v>3350</v>
      </c>
      <c r="S85" s="16">
        <v>3</v>
      </c>
      <c r="T85" s="110"/>
      <c r="U85" s="110"/>
      <c r="V85" s="110"/>
      <c r="W85" s="110"/>
    </row>
    <row r="86" spans="1:23" ht="19.5" customHeight="1">
      <c r="A86" s="635" t="s">
        <v>30</v>
      </c>
      <c r="B86" s="636"/>
      <c r="C86" s="636"/>
      <c r="D86" s="636"/>
      <c r="E86" s="636"/>
      <c r="F86" s="636"/>
      <c r="G86" s="636"/>
      <c r="H86" s="636"/>
      <c r="I86" s="636"/>
      <c r="J86" s="636"/>
      <c r="K86" s="636"/>
      <c r="L86" s="636"/>
      <c r="M86" s="636"/>
      <c r="N86" s="636"/>
      <c r="O86" s="636"/>
      <c r="P86" s="636"/>
      <c r="Q86" s="517"/>
      <c r="R86" s="462"/>
      <c r="S86" s="463"/>
      <c r="T86" s="110"/>
      <c r="U86" s="110"/>
      <c r="V86" s="110"/>
      <c r="W86" s="110"/>
    </row>
    <row r="87" spans="1:23" ht="19.5" customHeight="1">
      <c r="A87" s="397">
        <v>1</v>
      </c>
      <c r="B87" s="461" t="s">
        <v>220</v>
      </c>
      <c r="C87" s="417">
        <v>1</v>
      </c>
      <c r="D87" s="398">
        <f>5005</f>
        <v>5005</v>
      </c>
      <c r="E87" s="398"/>
      <c r="F87" s="398"/>
      <c r="G87" s="398"/>
      <c r="H87" s="398"/>
      <c r="I87" s="398"/>
      <c r="J87" s="398"/>
      <c r="K87" s="398">
        <f>SUM(D87:J87)</f>
        <v>5005</v>
      </c>
      <c r="L87" s="398"/>
      <c r="M87" s="398"/>
      <c r="N87" s="398">
        <f>K87*20%</f>
        <v>1001</v>
      </c>
      <c r="O87" s="398"/>
      <c r="P87" s="398"/>
      <c r="Q87" s="399">
        <f>13500-(D87+N87)*C87</f>
        <v>7494</v>
      </c>
      <c r="R87" s="402">
        <f>SUM(K87:P87)*C87+Q87</f>
        <v>13500</v>
      </c>
      <c r="S87" s="418">
        <v>9</v>
      </c>
      <c r="T87" s="110"/>
      <c r="U87" s="110"/>
      <c r="V87" s="110"/>
      <c r="W87" s="110"/>
    </row>
    <row r="88" spans="1:23" ht="18.75" customHeight="1" hidden="1">
      <c r="A88" s="431"/>
      <c r="B88" s="422"/>
      <c r="C88" s="409"/>
      <c r="D88" s="398"/>
      <c r="E88" s="399"/>
      <c r="F88" s="399"/>
      <c r="G88" s="399"/>
      <c r="H88" s="399"/>
      <c r="I88" s="399"/>
      <c r="J88" s="399"/>
      <c r="K88" s="398"/>
      <c r="L88" s="399"/>
      <c r="M88" s="399"/>
      <c r="N88" s="398"/>
      <c r="O88" s="399"/>
      <c r="P88" s="399"/>
      <c r="Q88" s="399"/>
      <c r="R88" s="402"/>
      <c r="S88" s="16"/>
      <c r="T88" s="110"/>
      <c r="U88" s="110"/>
      <c r="V88" s="110"/>
      <c r="W88" s="110"/>
    </row>
    <row r="89" spans="1:23" ht="19.5" customHeight="1">
      <c r="A89" s="431">
        <v>2</v>
      </c>
      <c r="B89" s="422" t="s">
        <v>17</v>
      </c>
      <c r="C89" s="409">
        <f>0.75-0.25</f>
        <v>0.5</v>
      </c>
      <c r="D89" s="399">
        <f>6700*1</f>
        <v>6700</v>
      </c>
      <c r="E89" s="399"/>
      <c r="F89" s="399"/>
      <c r="G89" s="399"/>
      <c r="H89" s="399"/>
      <c r="I89" s="399"/>
      <c r="J89" s="399"/>
      <c r="K89" s="398">
        <f>SUM(D89:J89)</f>
        <v>6700</v>
      </c>
      <c r="L89" s="399"/>
      <c r="M89" s="399"/>
      <c r="N89" s="399"/>
      <c r="O89" s="399"/>
      <c r="P89" s="399"/>
      <c r="Q89" s="399"/>
      <c r="R89" s="402">
        <f>SUM(K89:P89)*C89</f>
        <v>3350</v>
      </c>
      <c r="S89" s="16">
        <v>3</v>
      </c>
      <c r="T89" s="110"/>
      <c r="U89" s="110"/>
      <c r="V89" s="110"/>
      <c r="W89" s="110"/>
    </row>
    <row r="90" spans="1:23" ht="19.5" customHeight="1">
      <c r="A90" s="635" t="s">
        <v>31</v>
      </c>
      <c r="B90" s="636"/>
      <c r="C90" s="636"/>
      <c r="D90" s="636"/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  <c r="Q90" s="517"/>
      <c r="R90" s="464"/>
      <c r="S90" s="465"/>
      <c r="T90" s="110"/>
      <c r="U90" s="110"/>
      <c r="V90" s="110"/>
      <c r="W90" s="110"/>
    </row>
    <row r="91" spans="1:23" ht="19.5" customHeight="1">
      <c r="A91" s="397">
        <v>1</v>
      </c>
      <c r="B91" s="461" t="s">
        <v>182</v>
      </c>
      <c r="C91" s="417">
        <v>1</v>
      </c>
      <c r="D91" s="472">
        <f>4745</f>
        <v>4745</v>
      </c>
      <c r="E91" s="472"/>
      <c r="F91" s="472"/>
      <c r="G91" s="472"/>
      <c r="H91" s="472"/>
      <c r="I91" s="472"/>
      <c r="J91" s="472" t="s">
        <v>123</v>
      </c>
      <c r="K91" s="398">
        <f>SUM(D91:J91)</f>
        <v>4745</v>
      </c>
      <c r="L91" s="472"/>
      <c r="M91" s="472"/>
      <c r="N91" s="398">
        <f>K91*30%</f>
        <v>1423.5</v>
      </c>
      <c r="O91" s="472"/>
      <c r="P91" s="472"/>
      <c r="Q91" s="399">
        <f>13500-(D91+N91)*C91</f>
        <v>7331.5</v>
      </c>
      <c r="R91" s="402">
        <f>SUM(K91:P91)*C91+Q91</f>
        <v>13500</v>
      </c>
      <c r="S91" s="418">
        <v>8</v>
      </c>
      <c r="T91" s="110"/>
      <c r="U91" s="110"/>
      <c r="V91" s="110"/>
      <c r="W91" s="110"/>
    </row>
    <row r="92" spans="1:23" ht="19.5" customHeight="1">
      <c r="A92" s="431">
        <v>2</v>
      </c>
      <c r="B92" s="422" t="s">
        <v>17</v>
      </c>
      <c r="C92" s="409">
        <v>0.5</v>
      </c>
      <c r="D92" s="399">
        <f>6700*1</f>
        <v>6700</v>
      </c>
      <c r="E92" s="399"/>
      <c r="F92" s="399"/>
      <c r="G92" s="399"/>
      <c r="H92" s="399"/>
      <c r="I92" s="399"/>
      <c r="J92" s="399"/>
      <c r="K92" s="398">
        <f>SUM(D92:J92)</f>
        <v>6700</v>
      </c>
      <c r="L92" s="399"/>
      <c r="M92" s="399"/>
      <c r="N92" s="399"/>
      <c r="O92" s="399"/>
      <c r="P92" s="399"/>
      <c r="Q92" s="399"/>
      <c r="R92" s="402">
        <f>SUM(K92:P92)*C92</f>
        <v>3350</v>
      </c>
      <c r="S92" s="16">
        <v>3</v>
      </c>
      <c r="T92" s="110"/>
      <c r="U92" s="110"/>
      <c r="V92" s="110"/>
      <c r="W92" s="110"/>
    </row>
    <row r="93" spans="1:23" ht="19.5" customHeight="1">
      <c r="A93" s="635" t="s">
        <v>32</v>
      </c>
      <c r="B93" s="636"/>
      <c r="C93" s="636"/>
      <c r="D93" s="636"/>
      <c r="E93" s="636"/>
      <c r="F93" s="636"/>
      <c r="G93" s="636"/>
      <c r="H93" s="636"/>
      <c r="I93" s="636"/>
      <c r="J93" s="636"/>
      <c r="K93" s="636"/>
      <c r="L93" s="636"/>
      <c r="M93" s="636"/>
      <c r="N93" s="636"/>
      <c r="O93" s="636"/>
      <c r="P93" s="636"/>
      <c r="Q93" s="517"/>
      <c r="R93" s="464"/>
      <c r="S93" s="465"/>
      <c r="T93" s="110"/>
      <c r="U93" s="110"/>
      <c r="V93" s="110"/>
      <c r="W93" s="110"/>
    </row>
    <row r="94" spans="1:23" ht="19.5" customHeight="1">
      <c r="A94" s="397">
        <v>1</v>
      </c>
      <c r="B94" s="461" t="s">
        <v>220</v>
      </c>
      <c r="C94" s="417">
        <v>1</v>
      </c>
      <c r="D94" s="398">
        <f>5265</f>
        <v>5265</v>
      </c>
      <c r="E94" s="398"/>
      <c r="F94" s="398"/>
      <c r="G94" s="398"/>
      <c r="H94" s="398"/>
      <c r="I94" s="398"/>
      <c r="J94" s="398"/>
      <c r="K94" s="398">
        <f>SUM(D94:J94)</f>
        <v>5265</v>
      </c>
      <c r="L94" s="398"/>
      <c r="M94" s="398"/>
      <c r="N94" s="398">
        <f>K94*30%</f>
        <v>1579.5</v>
      </c>
      <c r="O94" s="398"/>
      <c r="P94" s="398"/>
      <c r="Q94" s="399">
        <f>13500-(D94+N94)*C94</f>
        <v>6655.5</v>
      </c>
      <c r="R94" s="402">
        <f>SUM(K94:P94)*C94+Q94</f>
        <v>13500</v>
      </c>
      <c r="S94" s="418">
        <v>10</v>
      </c>
      <c r="T94" s="110"/>
      <c r="U94" s="110"/>
      <c r="V94" s="110"/>
      <c r="W94" s="110"/>
    </row>
    <row r="95" spans="1:23" ht="18.75" customHeight="1" hidden="1">
      <c r="A95" s="431"/>
      <c r="B95" s="422"/>
      <c r="C95" s="409"/>
      <c r="D95" s="399"/>
      <c r="E95" s="399"/>
      <c r="F95" s="399"/>
      <c r="G95" s="399"/>
      <c r="H95" s="399"/>
      <c r="I95" s="399"/>
      <c r="J95" s="399"/>
      <c r="K95" s="398"/>
      <c r="L95" s="399"/>
      <c r="M95" s="399"/>
      <c r="N95" s="398"/>
      <c r="O95" s="399"/>
      <c r="P95" s="399"/>
      <c r="Q95" s="399"/>
      <c r="R95" s="402"/>
      <c r="S95" s="16"/>
      <c r="T95" s="110"/>
      <c r="U95" s="110"/>
      <c r="V95" s="110"/>
      <c r="W95" s="110"/>
    </row>
    <row r="96" spans="1:23" ht="19.5" customHeight="1">
      <c r="A96" s="431">
        <v>2</v>
      </c>
      <c r="B96" s="422" t="s">
        <v>17</v>
      </c>
      <c r="C96" s="409">
        <v>0.5</v>
      </c>
      <c r="D96" s="399">
        <f>6700*1</f>
        <v>6700</v>
      </c>
      <c r="E96" s="399"/>
      <c r="F96" s="399"/>
      <c r="G96" s="399"/>
      <c r="H96" s="399"/>
      <c r="I96" s="399"/>
      <c r="J96" s="399"/>
      <c r="K96" s="398">
        <f>SUM(D96:J96)</f>
        <v>6700</v>
      </c>
      <c r="L96" s="399"/>
      <c r="M96" s="399"/>
      <c r="N96" s="399"/>
      <c r="O96" s="399"/>
      <c r="P96" s="399"/>
      <c r="Q96" s="399"/>
      <c r="R96" s="402">
        <f>SUM(K96:P96)*C96</f>
        <v>3350</v>
      </c>
      <c r="S96" s="16">
        <v>3</v>
      </c>
      <c r="T96" s="110"/>
      <c r="U96" s="110"/>
      <c r="V96" s="110"/>
      <c r="W96" s="110"/>
    </row>
    <row r="97" spans="1:23" ht="15" customHeight="1">
      <c r="A97" s="533">
        <v>1</v>
      </c>
      <c r="B97" s="534">
        <v>2</v>
      </c>
      <c r="C97" s="535">
        <v>3</v>
      </c>
      <c r="D97" s="534">
        <v>4</v>
      </c>
      <c r="E97" s="534">
        <v>5</v>
      </c>
      <c r="F97" s="534">
        <v>6</v>
      </c>
      <c r="G97" s="534">
        <v>7</v>
      </c>
      <c r="H97" s="534">
        <v>8</v>
      </c>
      <c r="I97" s="534">
        <v>9</v>
      </c>
      <c r="J97" s="534">
        <v>10</v>
      </c>
      <c r="K97" s="534">
        <v>11</v>
      </c>
      <c r="L97" s="534">
        <v>12</v>
      </c>
      <c r="M97" s="534">
        <v>13</v>
      </c>
      <c r="N97" s="534">
        <v>14</v>
      </c>
      <c r="O97" s="534">
        <v>15</v>
      </c>
      <c r="P97" s="534">
        <v>16</v>
      </c>
      <c r="Q97" s="534"/>
      <c r="R97" s="534">
        <v>17</v>
      </c>
      <c r="S97" s="534">
        <v>18</v>
      </c>
      <c r="T97" s="110"/>
      <c r="U97" s="110"/>
      <c r="V97" s="110"/>
      <c r="W97" s="110"/>
    </row>
    <row r="98" spans="1:23" ht="19.5" customHeight="1">
      <c r="A98" s="633" t="s">
        <v>33</v>
      </c>
      <c r="B98" s="634"/>
      <c r="C98" s="634"/>
      <c r="D98" s="634"/>
      <c r="E98" s="634"/>
      <c r="F98" s="634"/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473"/>
      <c r="R98" s="473"/>
      <c r="S98" s="474"/>
      <c r="T98" s="110"/>
      <c r="U98" s="110"/>
      <c r="V98" s="110"/>
      <c r="W98" s="110"/>
    </row>
    <row r="99" spans="1:23" ht="19.5" customHeight="1">
      <c r="A99" s="397">
        <v>1</v>
      </c>
      <c r="B99" s="461" t="s">
        <v>220</v>
      </c>
      <c r="C99" s="417">
        <v>1</v>
      </c>
      <c r="D99" s="398">
        <f>5265</f>
        <v>5265</v>
      </c>
      <c r="E99" s="398"/>
      <c r="F99" s="398"/>
      <c r="G99" s="398"/>
      <c r="H99" s="398"/>
      <c r="I99" s="398"/>
      <c r="J99" s="398"/>
      <c r="K99" s="398">
        <f>SUM(D99:J99)</f>
        <v>5265</v>
      </c>
      <c r="L99" s="398"/>
      <c r="M99" s="398"/>
      <c r="N99" s="398">
        <f>K99*30%</f>
        <v>1579.5</v>
      </c>
      <c r="O99" s="398"/>
      <c r="P99" s="398"/>
      <c r="Q99" s="399">
        <f>13500-(D99+N99)*C99</f>
        <v>6655.5</v>
      </c>
      <c r="R99" s="402">
        <f>SUM(K99:P99)*C99+Q99</f>
        <v>13500</v>
      </c>
      <c r="S99" s="418">
        <v>10</v>
      </c>
      <c r="T99" s="110"/>
      <c r="U99" s="110"/>
      <c r="V99" s="110"/>
      <c r="W99" s="110"/>
    </row>
    <row r="100" spans="1:23" ht="18.75" customHeight="1" hidden="1">
      <c r="A100" s="431"/>
      <c r="B100" s="422"/>
      <c r="C100" s="409"/>
      <c r="D100" s="398"/>
      <c r="E100" s="399"/>
      <c r="F100" s="399"/>
      <c r="G100" s="399"/>
      <c r="H100" s="399"/>
      <c r="I100" s="399"/>
      <c r="J100" s="399"/>
      <c r="K100" s="398"/>
      <c r="L100" s="399"/>
      <c r="M100" s="399"/>
      <c r="N100" s="398"/>
      <c r="O100" s="399"/>
      <c r="P100" s="399"/>
      <c r="Q100" s="399"/>
      <c r="R100" s="402"/>
      <c r="S100" s="16"/>
      <c r="T100" s="110"/>
      <c r="U100" s="110"/>
      <c r="V100" s="110"/>
      <c r="W100" s="110"/>
    </row>
    <row r="101" spans="1:23" ht="19.5" customHeight="1">
      <c r="A101" s="431">
        <v>2</v>
      </c>
      <c r="B101" s="422" t="s">
        <v>17</v>
      </c>
      <c r="C101" s="409">
        <v>0.5</v>
      </c>
      <c r="D101" s="399">
        <f>6700*1</f>
        <v>6700</v>
      </c>
      <c r="E101" s="399"/>
      <c r="F101" s="399"/>
      <c r="G101" s="399"/>
      <c r="H101" s="399"/>
      <c r="I101" s="399"/>
      <c r="J101" s="399"/>
      <c r="K101" s="398">
        <f>SUM(D101:J101)</f>
        <v>6700</v>
      </c>
      <c r="L101" s="399"/>
      <c r="M101" s="399"/>
      <c r="N101" s="399"/>
      <c r="O101" s="399"/>
      <c r="P101" s="399"/>
      <c r="Q101" s="399"/>
      <c r="R101" s="402">
        <f>SUM(K101:P101)*C101</f>
        <v>3350</v>
      </c>
      <c r="S101" s="16">
        <v>3</v>
      </c>
      <c r="T101" s="110"/>
      <c r="U101" s="110"/>
      <c r="V101" s="110"/>
      <c r="W101" s="110"/>
    </row>
    <row r="102" spans="1:23" ht="19.5" customHeight="1">
      <c r="A102" s="635" t="s">
        <v>34</v>
      </c>
      <c r="B102" s="636"/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  <c r="M102" s="636"/>
      <c r="N102" s="636"/>
      <c r="O102" s="636"/>
      <c r="P102" s="636"/>
      <c r="Q102" s="517"/>
      <c r="R102" s="464"/>
      <c r="S102" s="465"/>
      <c r="T102" s="110"/>
      <c r="U102" s="110"/>
      <c r="V102" s="110"/>
      <c r="W102" s="110"/>
    </row>
    <row r="103" spans="1:23" ht="19.5" customHeight="1">
      <c r="A103" s="403">
        <v>1</v>
      </c>
      <c r="B103" s="461" t="s">
        <v>220</v>
      </c>
      <c r="C103" s="475">
        <v>1</v>
      </c>
      <c r="D103" s="407">
        <f>4456</f>
        <v>4456</v>
      </c>
      <c r="E103" s="407"/>
      <c r="F103" s="407"/>
      <c r="G103" s="407"/>
      <c r="H103" s="407"/>
      <c r="I103" s="407"/>
      <c r="J103" s="407"/>
      <c r="K103" s="407">
        <f>SUM(D103:J103)</f>
        <v>4456</v>
      </c>
      <c r="L103" s="407"/>
      <c r="M103" s="407"/>
      <c r="N103" s="407"/>
      <c r="O103" s="407"/>
      <c r="P103" s="407"/>
      <c r="Q103" s="399">
        <f>13500-(D103+N103)*C103</f>
        <v>9044</v>
      </c>
      <c r="R103" s="408">
        <f>SUM(K103:P103)*C103+Q103</f>
        <v>13500</v>
      </c>
      <c r="S103" s="161">
        <v>7</v>
      </c>
      <c r="T103" s="110"/>
      <c r="U103" s="110"/>
      <c r="V103" s="110"/>
      <c r="W103" s="110"/>
    </row>
    <row r="104" spans="1:23" ht="18.75" customHeight="1" hidden="1">
      <c r="A104" s="431"/>
      <c r="B104" s="422"/>
      <c r="C104" s="409"/>
      <c r="D104" s="398"/>
      <c r="E104" s="399"/>
      <c r="F104" s="399"/>
      <c r="G104" s="399"/>
      <c r="H104" s="399"/>
      <c r="I104" s="399"/>
      <c r="J104" s="399"/>
      <c r="K104" s="398"/>
      <c r="L104" s="399"/>
      <c r="M104" s="399"/>
      <c r="N104" s="398"/>
      <c r="O104" s="399"/>
      <c r="P104" s="399"/>
      <c r="Q104" s="399"/>
      <c r="R104" s="402"/>
      <c r="S104" s="16"/>
      <c r="T104" s="110"/>
      <c r="U104" s="110"/>
      <c r="V104" s="110"/>
      <c r="W104" s="110"/>
    </row>
    <row r="105" spans="1:23" ht="19.5" customHeight="1">
      <c r="A105" s="431">
        <v>2</v>
      </c>
      <c r="B105" s="422" t="s">
        <v>17</v>
      </c>
      <c r="C105" s="409">
        <f>0.75+0.25</f>
        <v>1</v>
      </c>
      <c r="D105" s="399">
        <f>6700*1</f>
        <v>6700</v>
      </c>
      <c r="E105" s="399"/>
      <c r="F105" s="399"/>
      <c r="G105" s="399"/>
      <c r="H105" s="399"/>
      <c r="I105" s="399"/>
      <c r="J105" s="399"/>
      <c r="K105" s="398">
        <f>SUM(D105:J105)</f>
        <v>6700</v>
      </c>
      <c r="L105" s="399"/>
      <c r="M105" s="399"/>
      <c r="N105" s="399"/>
      <c r="O105" s="399"/>
      <c r="P105" s="399"/>
      <c r="Q105" s="399"/>
      <c r="R105" s="402">
        <f>SUM(K105:P105)*C105</f>
        <v>6700</v>
      </c>
      <c r="S105" s="16">
        <v>3</v>
      </c>
      <c r="T105" s="110"/>
      <c r="U105" s="110"/>
      <c r="V105" s="110"/>
      <c r="W105" s="110"/>
    </row>
    <row r="106" spans="1:23" ht="19.5" customHeight="1">
      <c r="A106" s="635" t="s">
        <v>35</v>
      </c>
      <c r="B106" s="636"/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  <c r="M106" s="636"/>
      <c r="N106" s="636"/>
      <c r="O106" s="636"/>
      <c r="P106" s="636"/>
      <c r="Q106" s="517"/>
      <c r="R106" s="464"/>
      <c r="S106" s="465"/>
      <c r="T106" s="110"/>
      <c r="U106" s="110"/>
      <c r="V106" s="110"/>
      <c r="W106" s="110"/>
    </row>
    <row r="107" spans="1:23" ht="19.5" customHeight="1">
      <c r="A107" s="397">
        <v>1</v>
      </c>
      <c r="B107" s="461" t="s">
        <v>220</v>
      </c>
      <c r="C107" s="417">
        <v>1</v>
      </c>
      <c r="D107" s="398">
        <f>5265</f>
        <v>5265</v>
      </c>
      <c r="E107" s="398"/>
      <c r="F107" s="398"/>
      <c r="G107" s="398"/>
      <c r="H107" s="398"/>
      <c r="I107" s="398"/>
      <c r="J107" s="398"/>
      <c r="K107" s="398">
        <f>SUM(D107:J107)</f>
        <v>5265</v>
      </c>
      <c r="L107" s="398"/>
      <c r="M107" s="398"/>
      <c r="N107" s="398">
        <f>K107*30%</f>
        <v>1579.5</v>
      </c>
      <c r="O107" s="398"/>
      <c r="P107" s="398"/>
      <c r="Q107" s="399">
        <f>13500-(D107+N107)*C107</f>
        <v>6655.5</v>
      </c>
      <c r="R107" s="402">
        <f>SUM(K107:P107)*C107+Q107</f>
        <v>13500</v>
      </c>
      <c r="S107" s="418">
        <v>10</v>
      </c>
      <c r="T107" s="110"/>
      <c r="U107" s="110"/>
      <c r="V107" s="110"/>
      <c r="W107" s="110"/>
    </row>
    <row r="108" spans="1:23" ht="18.75" customHeight="1" hidden="1">
      <c r="A108" s="431"/>
      <c r="B108" s="422"/>
      <c r="C108" s="409"/>
      <c r="D108" s="398"/>
      <c r="E108" s="399"/>
      <c r="F108" s="399"/>
      <c r="G108" s="399"/>
      <c r="H108" s="399"/>
      <c r="I108" s="399"/>
      <c r="J108" s="399"/>
      <c r="K108" s="398"/>
      <c r="L108" s="399"/>
      <c r="M108" s="399"/>
      <c r="N108" s="398"/>
      <c r="O108" s="399"/>
      <c r="P108" s="399"/>
      <c r="Q108" s="399"/>
      <c r="R108" s="402"/>
      <c r="S108" s="16"/>
      <c r="T108" s="110"/>
      <c r="U108" s="110"/>
      <c r="V108" s="110"/>
      <c r="W108" s="110"/>
    </row>
    <row r="109" spans="1:23" ht="19.5" customHeight="1">
      <c r="A109" s="431">
        <v>2</v>
      </c>
      <c r="B109" s="422" t="s">
        <v>17</v>
      </c>
      <c r="C109" s="409">
        <v>0.5</v>
      </c>
      <c r="D109" s="399">
        <f>6700*1</f>
        <v>6700</v>
      </c>
      <c r="E109" s="399"/>
      <c r="F109" s="399"/>
      <c r="G109" s="399"/>
      <c r="H109" s="399"/>
      <c r="I109" s="399"/>
      <c r="J109" s="399"/>
      <c r="K109" s="398">
        <f>SUM(D109:J109)</f>
        <v>6700</v>
      </c>
      <c r="L109" s="399"/>
      <c r="M109" s="399"/>
      <c r="N109" s="399"/>
      <c r="O109" s="399"/>
      <c r="P109" s="399"/>
      <c r="Q109" s="399"/>
      <c r="R109" s="402">
        <f>SUM(K109:P109)*C109</f>
        <v>3350</v>
      </c>
      <c r="S109" s="16">
        <v>3</v>
      </c>
      <c r="T109" s="110"/>
      <c r="U109" s="110"/>
      <c r="V109" s="110"/>
      <c r="W109" s="110"/>
    </row>
    <row r="110" spans="1:23" ht="19.5" customHeight="1">
      <c r="A110" s="635" t="s">
        <v>37</v>
      </c>
      <c r="B110" s="636"/>
      <c r="C110" s="636"/>
      <c r="D110" s="636"/>
      <c r="E110" s="636"/>
      <c r="F110" s="636"/>
      <c r="G110" s="636"/>
      <c r="H110" s="636"/>
      <c r="I110" s="636"/>
      <c r="J110" s="636"/>
      <c r="K110" s="636"/>
      <c r="L110" s="636"/>
      <c r="M110" s="636"/>
      <c r="N110" s="636"/>
      <c r="O110" s="636"/>
      <c r="P110" s="636"/>
      <c r="Q110" s="517"/>
      <c r="R110" s="464"/>
      <c r="S110" s="465"/>
      <c r="T110" s="110"/>
      <c r="U110" s="110"/>
      <c r="V110" s="110"/>
      <c r="W110" s="110"/>
    </row>
    <row r="111" spans="1:23" ht="19.5" customHeight="1">
      <c r="A111" s="397">
        <v>1</v>
      </c>
      <c r="B111" s="461" t="s">
        <v>182</v>
      </c>
      <c r="C111" s="417">
        <v>1</v>
      </c>
      <c r="D111" s="398">
        <f>4745</f>
        <v>4745</v>
      </c>
      <c r="E111" s="398"/>
      <c r="F111" s="398"/>
      <c r="G111" s="398"/>
      <c r="H111" s="398"/>
      <c r="I111" s="398"/>
      <c r="J111" s="398"/>
      <c r="K111" s="398">
        <f>SUM(D111:J111)</f>
        <v>4745</v>
      </c>
      <c r="L111" s="398"/>
      <c r="M111" s="398"/>
      <c r="N111" s="398">
        <f>K111*10%</f>
        <v>474.5</v>
      </c>
      <c r="O111" s="398"/>
      <c r="P111" s="398"/>
      <c r="Q111" s="399">
        <f>13500-(D111+N111)*C111</f>
        <v>8280.5</v>
      </c>
      <c r="R111" s="402">
        <f>SUM(K111:P111)*C111+Q111</f>
        <v>13500</v>
      </c>
      <c r="S111" s="418">
        <v>8</v>
      </c>
      <c r="T111" s="110"/>
      <c r="U111" s="110"/>
      <c r="V111" s="110"/>
      <c r="W111" s="110"/>
    </row>
    <row r="112" spans="1:23" ht="19.5" customHeight="1">
      <c r="A112" s="431">
        <v>2</v>
      </c>
      <c r="B112" s="422" t="s">
        <v>17</v>
      </c>
      <c r="C112" s="409">
        <f>0.75-0.25</f>
        <v>0.5</v>
      </c>
      <c r="D112" s="399">
        <f>6700*1</f>
        <v>6700</v>
      </c>
      <c r="E112" s="399"/>
      <c r="F112" s="399"/>
      <c r="G112" s="399"/>
      <c r="H112" s="399"/>
      <c r="I112" s="399"/>
      <c r="J112" s="399"/>
      <c r="K112" s="398">
        <f>SUM(D112:J112)</f>
        <v>6700</v>
      </c>
      <c r="L112" s="399"/>
      <c r="M112" s="399"/>
      <c r="N112" s="399"/>
      <c r="O112" s="399"/>
      <c r="P112" s="399"/>
      <c r="Q112" s="399"/>
      <c r="R112" s="402">
        <f>SUM(K112:P112)*C112</f>
        <v>3350</v>
      </c>
      <c r="S112" s="16">
        <v>3</v>
      </c>
      <c r="T112" s="110"/>
      <c r="U112" s="110"/>
      <c r="V112" s="110"/>
      <c r="W112" s="110"/>
    </row>
    <row r="113" spans="1:19" ht="19.5" customHeight="1">
      <c r="A113" s="635" t="s">
        <v>45</v>
      </c>
      <c r="B113" s="636"/>
      <c r="C113" s="636"/>
      <c r="D113" s="636"/>
      <c r="E113" s="636"/>
      <c r="F113" s="636"/>
      <c r="G113" s="636"/>
      <c r="H113" s="636"/>
      <c r="I113" s="636"/>
      <c r="J113" s="636"/>
      <c r="K113" s="636"/>
      <c r="L113" s="636"/>
      <c r="M113" s="636"/>
      <c r="N113" s="636"/>
      <c r="O113" s="636"/>
      <c r="P113" s="636"/>
      <c r="Q113" s="517"/>
      <c r="R113" s="464"/>
      <c r="S113" s="465"/>
    </row>
    <row r="114" spans="1:19" ht="19.5" customHeight="1">
      <c r="A114" s="397">
        <v>1</v>
      </c>
      <c r="B114" s="461" t="s">
        <v>182</v>
      </c>
      <c r="C114" s="417">
        <v>1</v>
      </c>
      <c r="D114" s="398">
        <f>5005</f>
        <v>5005</v>
      </c>
      <c r="E114" s="398"/>
      <c r="F114" s="398"/>
      <c r="G114" s="398"/>
      <c r="H114" s="398"/>
      <c r="I114" s="398"/>
      <c r="J114" s="398"/>
      <c r="K114" s="398">
        <f>SUM(D114:J114)</f>
        <v>5005</v>
      </c>
      <c r="L114" s="398"/>
      <c r="M114" s="398"/>
      <c r="N114" s="398">
        <f>K114*20%</f>
        <v>1001</v>
      </c>
      <c r="O114" s="398"/>
      <c r="P114" s="398"/>
      <c r="Q114" s="399">
        <f>13500-(D114+N114)*C114</f>
        <v>7494</v>
      </c>
      <c r="R114" s="402">
        <f>SUM(K114:P114)*C114+Q114</f>
        <v>13500</v>
      </c>
      <c r="S114" s="418">
        <v>9</v>
      </c>
    </row>
    <row r="115" spans="1:19" ht="19.5" customHeight="1">
      <c r="A115" s="397">
        <v>2</v>
      </c>
      <c r="B115" s="411" t="s">
        <v>17</v>
      </c>
      <c r="C115" s="412">
        <v>0.5</v>
      </c>
      <c r="D115" s="399">
        <f>6700*1</f>
        <v>6700</v>
      </c>
      <c r="E115" s="399"/>
      <c r="F115" s="413"/>
      <c r="G115" s="413"/>
      <c r="H115" s="413"/>
      <c r="I115" s="413"/>
      <c r="J115" s="413"/>
      <c r="K115" s="398">
        <f>SUM(D115:J115)</f>
        <v>6700</v>
      </c>
      <c r="L115" s="413"/>
      <c r="M115" s="413"/>
      <c r="N115" s="398"/>
      <c r="O115" s="413"/>
      <c r="P115" s="413"/>
      <c r="Q115" s="399"/>
      <c r="R115" s="402">
        <f>SUM(K115:P115)*C115</f>
        <v>3350</v>
      </c>
      <c r="S115" s="415">
        <v>3</v>
      </c>
    </row>
    <row r="116" spans="1:19" ht="19.5" customHeight="1">
      <c r="A116" s="635" t="s">
        <v>47</v>
      </c>
      <c r="B116" s="636"/>
      <c r="C116" s="636"/>
      <c r="D116" s="636"/>
      <c r="E116" s="636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517"/>
      <c r="R116" s="464"/>
      <c r="S116" s="465"/>
    </row>
    <row r="117" spans="1:19" ht="19.5" customHeight="1">
      <c r="A117" s="397">
        <v>1</v>
      </c>
      <c r="B117" s="461" t="s">
        <v>220</v>
      </c>
      <c r="C117" s="417">
        <v>1</v>
      </c>
      <c r="D117" s="398">
        <f>5005</f>
        <v>5005</v>
      </c>
      <c r="E117" s="398"/>
      <c r="F117" s="398"/>
      <c r="G117" s="398"/>
      <c r="H117" s="398"/>
      <c r="I117" s="398"/>
      <c r="J117" s="398"/>
      <c r="K117" s="398">
        <f>SUM(D117:J117)</f>
        <v>5005</v>
      </c>
      <c r="L117" s="398"/>
      <c r="M117" s="398"/>
      <c r="N117" s="398">
        <f>K117*20%</f>
        <v>1001</v>
      </c>
      <c r="O117" s="398"/>
      <c r="P117" s="398"/>
      <c r="Q117" s="399">
        <f>13500-(D117+N117)*C117</f>
        <v>7494</v>
      </c>
      <c r="R117" s="402">
        <f>SUM(K117:P117)*C117+Q117</f>
        <v>13500</v>
      </c>
      <c r="S117" s="418">
        <v>9</v>
      </c>
    </row>
    <row r="118" spans="1:19" ht="18.75" customHeight="1" hidden="1">
      <c r="A118" s="431"/>
      <c r="B118" s="422"/>
      <c r="C118" s="409"/>
      <c r="D118" s="399"/>
      <c r="E118" s="399"/>
      <c r="F118" s="399"/>
      <c r="G118" s="399"/>
      <c r="H118" s="399"/>
      <c r="I118" s="399"/>
      <c r="J118" s="399"/>
      <c r="K118" s="398"/>
      <c r="L118" s="399"/>
      <c r="M118" s="399"/>
      <c r="N118" s="398"/>
      <c r="O118" s="399"/>
      <c r="P118" s="399"/>
      <c r="Q118" s="399"/>
      <c r="R118" s="402"/>
      <c r="S118" s="16"/>
    </row>
    <row r="119" spans="1:19" ht="19.5" customHeight="1">
      <c r="A119" s="431">
        <v>2</v>
      </c>
      <c r="B119" s="15" t="s">
        <v>17</v>
      </c>
      <c r="C119" s="409">
        <v>0.5</v>
      </c>
      <c r="D119" s="399">
        <f>6700*1</f>
        <v>6700</v>
      </c>
      <c r="E119" s="399"/>
      <c r="F119" s="399"/>
      <c r="G119" s="399"/>
      <c r="H119" s="399"/>
      <c r="I119" s="399"/>
      <c r="J119" s="399"/>
      <c r="K119" s="398">
        <f>SUM(D119:J119)</f>
        <v>6700</v>
      </c>
      <c r="L119" s="399"/>
      <c r="M119" s="399"/>
      <c r="N119" s="399"/>
      <c r="O119" s="399"/>
      <c r="P119" s="399"/>
      <c r="Q119" s="399"/>
      <c r="R119" s="402">
        <f>SUM(K119:P119)*C119</f>
        <v>3350</v>
      </c>
      <c r="S119" s="16">
        <v>3</v>
      </c>
    </row>
    <row r="120" spans="1:19" ht="19.5" customHeight="1">
      <c r="A120" s="635" t="s">
        <v>39</v>
      </c>
      <c r="B120" s="636"/>
      <c r="C120" s="636"/>
      <c r="D120" s="636"/>
      <c r="E120" s="636"/>
      <c r="F120" s="636"/>
      <c r="G120" s="636"/>
      <c r="H120" s="636"/>
      <c r="I120" s="636"/>
      <c r="J120" s="636"/>
      <c r="K120" s="636"/>
      <c r="L120" s="636"/>
      <c r="M120" s="636"/>
      <c r="N120" s="636"/>
      <c r="O120" s="636"/>
      <c r="P120" s="636"/>
      <c r="Q120" s="517"/>
      <c r="R120" s="464"/>
      <c r="S120" s="465"/>
    </row>
    <row r="121" spans="1:19" ht="19.5" customHeight="1">
      <c r="A121" s="397">
        <v>1</v>
      </c>
      <c r="B121" s="461" t="s">
        <v>182</v>
      </c>
      <c r="C121" s="417">
        <v>1</v>
      </c>
      <c r="D121" s="398">
        <f>4456</f>
        <v>4456</v>
      </c>
      <c r="E121" s="398"/>
      <c r="F121" s="398"/>
      <c r="G121" s="398"/>
      <c r="H121" s="398"/>
      <c r="I121" s="398"/>
      <c r="J121" s="398"/>
      <c r="K121" s="398">
        <f>SUM(D121:J121)</f>
        <v>4456</v>
      </c>
      <c r="L121" s="398"/>
      <c r="M121" s="398"/>
      <c r="N121" s="398">
        <f>K121*10%</f>
        <v>445.6</v>
      </c>
      <c r="O121" s="398"/>
      <c r="P121" s="398"/>
      <c r="Q121" s="399">
        <f>13500-(D121+N121)*C121</f>
        <v>8598.4</v>
      </c>
      <c r="R121" s="402">
        <f>SUM(K121:P121)*C121+Q121</f>
        <v>13500</v>
      </c>
      <c r="S121" s="418">
        <v>7</v>
      </c>
    </row>
    <row r="122" spans="1:19" ht="19.5" customHeight="1">
      <c r="A122" s="431">
        <v>2</v>
      </c>
      <c r="B122" s="422" t="s">
        <v>17</v>
      </c>
      <c r="C122" s="409">
        <v>0.5</v>
      </c>
      <c r="D122" s="399">
        <f>6700*1</f>
        <v>6700</v>
      </c>
      <c r="E122" s="399"/>
      <c r="F122" s="399"/>
      <c r="G122" s="399"/>
      <c r="H122" s="399"/>
      <c r="I122" s="399"/>
      <c r="J122" s="399"/>
      <c r="K122" s="398">
        <f>SUM(D122:J122)</f>
        <v>6700</v>
      </c>
      <c r="L122" s="399"/>
      <c r="M122" s="399"/>
      <c r="N122" s="399"/>
      <c r="O122" s="399"/>
      <c r="P122" s="399"/>
      <c r="Q122" s="399"/>
      <c r="R122" s="402">
        <f>SUM(K122:P122)*C122</f>
        <v>3350</v>
      </c>
      <c r="S122" s="16">
        <v>3</v>
      </c>
    </row>
    <row r="123" spans="1:19" ht="19.5" customHeight="1">
      <c r="A123" s="635" t="s">
        <v>40</v>
      </c>
      <c r="B123" s="636"/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6"/>
      <c r="O123" s="636"/>
      <c r="P123" s="636"/>
      <c r="Q123" s="517"/>
      <c r="R123" s="464"/>
      <c r="S123" s="465"/>
    </row>
    <row r="124" spans="1:19" ht="19.5" customHeight="1">
      <c r="A124" s="397">
        <v>1</v>
      </c>
      <c r="B124" s="461" t="s">
        <v>220</v>
      </c>
      <c r="C124" s="417">
        <v>1</v>
      </c>
      <c r="D124" s="398">
        <f>5005</f>
        <v>5005</v>
      </c>
      <c r="E124" s="398"/>
      <c r="F124" s="398"/>
      <c r="G124" s="398"/>
      <c r="H124" s="398"/>
      <c r="I124" s="398"/>
      <c r="J124" s="398"/>
      <c r="K124" s="398">
        <f>SUM(D124:J124)</f>
        <v>5005</v>
      </c>
      <c r="L124" s="398"/>
      <c r="M124" s="398"/>
      <c r="N124" s="398">
        <f>K124*20%</f>
        <v>1001</v>
      </c>
      <c r="O124" s="398"/>
      <c r="P124" s="398"/>
      <c r="Q124" s="399">
        <f>13500-(D124+N124)*C124</f>
        <v>7494</v>
      </c>
      <c r="R124" s="402">
        <f>SUM(K124:P124)*C124+Q124</f>
        <v>13500</v>
      </c>
      <c r="S124" s="418">
        <v>9</v>
      </c>
    </row>
    <row r="125" spans="1:19" ht="18.75" hidden="1">
      <c r="A125" s="431"/>
      <c r="B125" s="422"/>
      <c r="C125" s="409"/>
      <c r="D125" s="398"/>
      <c r="E125" s="399"/>
      <c r="F125" s="399"/>
      <c r="G125" s="399"/>
      <c r="H125" s="399"/>
      <c r="I125" s="399"/>
      <c r="J125" s="399"/>
      <c r="K125" s="398"/>
      <c r="L125" s="399"/>
      <c r="M125" s="399"/>
      <c r="N125" s="399"/>
      <c r="O125" s="399"/>
      <c r="P125" s="399"/>
      <c r="Q125" s="399"/>
      <c r="R125" s="402"/>
      <c r="S125" s="16"/>
    </row>
    <row r="126" spans="1:19" ht="19.5" customHeight="1">
      <c r="A126" s="431">
        <v>2</v>
      </c>
      <c r="B126" s="15" t="s">
        <v>17</v>
      </c>
      <c r="C126" s="409">
        <f>0.75-0.25</f>
        <v>0.5</v>
      </c>
      <c r="D126" s="399">
        <f>6700*1</f>
        <v>6700</v>
      </c>
      <c r="E126" s="399"/>
      <c r="F126" s="399"/>
      <c r="G126" s="399"/>
      <c r="H126" s="399"/>
      <c r="I126" s="399"/>
      <c r="J126" s="399"/>
      <c r="K126" s="398">
        <f>SUM(D126:J126)</f>
        <v>6700</v>
      </c>
      <c r="L126" s="399"/>
      <c r="M126" s="399"/>
      <c r="N126" s="399"/>
      <c r="O126" s="399"/>
      <c r="P126" s="399"/>
      <c r="Q126" s="399"/>
      <c r="R126" s="402">
        <f>SUM(K126:P126)*C126</f>
        <v>3350</v>
      </c>
      <c r="S126" s="16">
        <v>3</v>
      </c>
    </row>
    <row r="127" spans="1:19" ht="19.5" customHeight="1">
      <c r="A127" s="635" t="s">
        <v>74</v>
      </c>
      <c r="B127" s="636"/>
      <c r="C127" s="636"/>
      <c r="D127" s="636"/>
      <c r="E127" s="636"/>
      <c r="F127" s="636"/>
      <c r="G127" s="636"/>
      <c r="H127" s="636"/>
      <c r="I127" s="636"/>
      <c r="J127" s="636"/>
      <c r="K127" s="636"/>
      <c r="L127" s="636"/>
      <c r="M127" s="636"/>
      <c r="N127" s="636"/>
      <c r="O127" s="636"/>
      <c r="P127" s="636"/>
      <c r="Q127" s="517"/>
      <c r="R127" s="464"/>
      <c r="S127" s="465"/>
    </row>
    <row r="128" spans="1:19" ht="19.5" customHeight="1">
      <c r="A128" s="397">
        <v>1</v>
      </c>
      <c r="B128" s="461" t="s">
        <v>182</v>
      </c>
      <c r="C128" s="417">
        <v>1</v>
      </c>
      <c r="D128" s="398">
        <f>5265</f>
        <v>5265</v>
      </c>
      <c r="E128" s="398"/>
      <c r="F128" s="398"/>
      <c r="G128" s="398"/>
      <c r="H128" s="398"/>
      <c r="I128" s="398"/>
      <c r="J128" s="398"/>
      <c r="K128" s="398">
        <f>SUM(D128:J128)</f>
        <v>5265</v>
      </c>
      <c r="L128" s="398"/>
      <c r="M128" s="398"/>
      <c r="N128" s="398">
        <f>K128*20%</f>
        <v>1053</v>
      </c>
      <c r="O128" s="398"/>
      <c r="P128" s="398"/>
      <c r="Q128" s="399">
        <f>13500-(D128+N128)*C128</f>
        <v>7182</v>
      </c>
      <c r="R128" s="402">
        <f>SUM(K128:P128)*C128+Q128</f>
        <v>13500</v>
      </c>
      <c r="S128" s="418">
        <v>10</v>
      </c>
    </row>
    <row r="129" spans="1:19" ht="18.75" hidden="1">
      <c r="A129" s="431"/>
      <c r="B129" s="422"/>
      <c r="C129" s="409"/>
      <c r="D129" s="398"/>
      <c r="E129" s="399"/>
      <c r="F129" s="399"/>
      <c r="G129" s="399"/>
      <c r="H129" s="399"/>
      <c r="I129" s="399"/>
      <c r="J129" s="399"/>
      <c r="K129" s="398"/>
      <c r="L129" s="399"/>
      <c r="M129" s="399"/>
      <c r="N129" s="398"/>
      <c r="O129" s="399"/>
      <c r="P129" s="399"/>
      <c r="Q129" s="399"/>
      <c r="R129" s="402"/>
      <c r="S129" s="16"/>
    </row>
    <row r="130" spans="1:19" ht="19.5" customHeight="1">
      <c r="A130" s="431">
        <v>2</v>
      </c>
      <c r="B130" s="422" t="s">
        <v>17</v>
      </c>
      <c r="C130" s="409">
        <f>0.75-0.25</f>
        <v>0.5</v>
      </c>
      <c r="D130" s="399">
        <f>6700*1</f>
        <v>6700</v>
      </c>
      <c r="E130" s="399"/>
      <c r="F130" s="399"/>
      <c r="G130" s="399"/>
      <c r="H130" s="399"/>
      <c r="I130" s="399"/>
      <c r="J130" s="399"/>
      <c r="K130" s="398">
        <f>SUM(D130:J130)</f>
        <v>6700</v>
      </c>
      <c r="L130" s="399"/>
      <c r="M130" s="399"/>
      <c r="N130" s="399"/>
      <c r="O130" s="399"/>
      <c r="P130" s="399"/>
      <c r="Q130" s="399"/>
      <c r="R130" s="402">
        <f>SUM(K130:P130)*C130</f>
        <v>3350</v>
      </c>
      <c r="S130" s="16">
        <v>3</v>
      </c>
    </row>
    <row r="131" spans="1:23" ht="19.5" customHeight="1">
      <c r="A131" s="431"/>
      <c r="B131" s="422"/>
      <c r="C131" s="17"/>
      <c r="D131" s="399"/>
      <c r="E131" s="399"/>
      <c r="F131" s="399"/>
      <c r="G131" s="399"/>
      <c r="H131" s="399"/>
      <c r="I131" s="399"/>
      <c r="J131" s="399"/>
      <c r="K131" s="398"/>
      <c r="L131" s="399"/>
      <c r="M131" s="399"/>
      <c r="N131" s="399"/>
      <c r="O131" s="399"/>
      <c r="P131" s="399"/>
      <c r="Q131" s="399"/>
      <c r="R131" s="402"/>
      <c r="S131" s="16"/>
      <c r="T131" s="110"/>
      <c r="U131" s="110"/>
      <c r="V131" s="110"/>
      <c r="W131" s="110"/>
    </row>
    <row r="132" spans="1:19" ht="19.5" customHeight="1">
      <c r="A132" s="423"/>
      <c r="B132" s="469" t="s">
        <v>131</v>
      </c>
      <c r="C132" s="425">
        <f>C133+C134</f>
        <v>30.5</v>
      </c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27">
        <f>R133+R134</f>
        <v>340350</v>
      </c>
      <c r="S132" s="418"/>
    </row>
    <row r="133" spans="1:19" ht="19.5" customHeight="1">
      <c r="A133" s="9"/>
      <c r="B133" s="106" t="s">
        <v>16</v>
      </c>
      <c r="C133" s="425">
        <f>C5+C9+C13+C16+C20+C24+C28+C83+C87+C91+C94+C99+C103+C107+C111+C114+C117+C118+C121+C124+C128</f>
        <v>20</v>
      </c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27">
        <f>R5+R9+R13+R16+R20+R24+R28+R83+R87+R91+R94+R99+R103+R107+R111+R114+R117+R118+R121+R124+R128</f>
        <v>270000</v>
      </c>
      <c r="S133" s="418"/>
    </row>
    <row r="134" spans="1:22" ht="19.5" customHeight="1">
      <c r="A134" s="10"/>
      <c r="B134" s="20" t="s">
        <v>22</v>
      </c>
      <c r="C134" s="428">
        <f>C7+C11+C14+C18+C21+C25+C29+C85+C89+C92+C96+C101+C105+C109+C112+C115+C119+C122+C126+C130</f>
        <v>10.5</v>
      </c>
      <c r="D134" s="471"/>
      <c r="E134" s="471"/>
      <c r="F134" s="471"/>
      <c r="G134" s="471"/>
      <c r="H134" s="471"/>
      <c r="I134" s="471"/>
      <c r="J134" s="471"/>
      <c r="K134" s="471"/>
      <c r="L134" s="471"/>
      <c r="M134" s="471"/>
      <c r="N134" s="471"/>
      <c r="O134" s="471"/>
      <c r="P134" s="471"/>
      <c r="Q134" s="471"/>
      <c r="R134" s="430">
        <f>R7+R11+R14+R18+R21+R25+R29+R85+R89+R92+R96+R101+R105+R109+R112+R115+R119+R122+R126+R130</f>
        <v>70350</v>
      </c>
      <c r="S134" s="16"/>
      <c r="V134" s="55"/>
    </row>
    <row r="135" spans="1:19" ht="18.75">
      <c r="A135" s="4"/>
      <c r="B135" s="4"/>
      <c r="C135" s="141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4"/>
      <c r="P135" s="4"/>
      <c r="Q135" s="4"/>
      <c r="R135" s="4"/>
      <c r="S135" s="4"/>
    </row>
    <row r="136" spans="1:19" ht="18.75">
      <c r="A136" s="4"/>
      <c r="B136" s="4"/>
      <c r="C136" s="141"/>
      <c r="D136" s="140" t="str">
        <f>Денихівська!F27</f>
        <v>Інспектор ВК</v>
      </c>
      <c r="E136" s="140"/>
      <c r="F136" s="140"/>
      <c r="G136" s="140"/>
      <c r="H136" s="140"/>
      <c r="I136" s="140"/>
      <c r="J136" s="140"/>
      <c r="K136" s="140" t="str">
        <f>Денихівська!N27</f>
        <v>Тетяна ПРИЩЕПА</v>
      </c>
      <c r="L136" s="140"/>
      <c r="M136" s="140"/>
      <c r="N136" s="140"/>
      <c r="O136" s="4"/>
      <c r="P136" s="4"/>
      <c r="Q136" s="4"/>
      <c r="R136" s="4"/>
      <c r="S136" s="4"/>
    </row>
    <row r="137" spans="1:19" ht="18.75">
      <c r="A137" s="4"/>
      <c r="B137" s="4"/>
      <c r="C137" s="141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4"/>
      <c r="P137" s="4"/>
      <c r="Q137" s="4"/>
      <c r="R137" s="4"/>
      <c r="S137" s="4"/>
    </row>
    <row r="138" spans="1:19" ht="18.75">
      <c r="A138" s="4"/>
      <c r="B138" s="4"/>
      <c r="C138" s="141"/>
      <c r="D138" s="140" t="str">
        <f>Денихівська!F29</f>
        <v>Економіст</v>
      </c>
      <c r="E138" s="140"/>
      <c r="F138" s="140"/>
      <c r="G138" s="140"/>
      <c r="H138" s="140"/>
      <c r="I138" s="140"/>
      <c r="J138" s="140"/>
      <c r="K138" s="140" t="str">
        <f>Денихівська!N29</f>
        <v>Галина ЛУЧКО</v>
      </c>
      <c r="L138" s="140"/>
      <c r="M138" s="140"/>
      <c r="N138" s="140"/>
      <c r="O138" s="4"/>
      <c r="P138" s="4"/>
      <c r="Q138" s="4"/>
      <c r="R138" s="4"/>
      <c r="S138" s="4"/>
    </row>
    <row r="139" spans="1:19" ht="18.75">
      <c r="A139" s="4"/>
      <c r="B139" s="4"/>
      <c r="C139" s="141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4"/>
      <c r="P139" s="4"/>
      <c r="Q139" s="4"/>
      <c r="R139" s="4"/>
      <c r="S139" s="4"/>
    </row>
    <row r="140" spans="1:19" ht="15.75">
      <c r="A140" s="4"/>
      <c r="B140" s="4"/>
      <c r="C140" s="4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5.75">
      <c r="A141" s="4"/>
      <c r="B141" s="4"/>
      <c r="C141" s="4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5.75">
      <c r="A142" s="4"/>
      <c r="B142" s="4"/>
      <c r="C142" s="48"/>
      <c r="D142" s="250"/>
      <c r="E142" s="250">
        <f>E5+E9+E13+E16+E20+E24+E28</f>
        <v>0</v>
      </c>
      <c r="F142" s="250"/>
      <c r="G142" s="250"/>
      <c r="H142" s="250"/>
      <c r="I142" s="250"/>
      <c r="J142" s="250"/>
      <c r="K142" s="250"/>
      <c r="L142" s="250"/>
      <c r="M142" s="250"/>
      <c r="N142" s="250">
        <f>N5+N9+N13+N16+N20+N24+N28+N83+N87+N91+N94+N99+N103+N107+N111+N114+N117+N118+N121+N124+N128</f>
        <v>18714.899999999998</v>
      </c>
      <c r="O142" s="250"/>
      <c r="P142" s="250">
        <f>P7*0.75+P11*0.75+P14/2+P18*0.75+P21*0.75+P25*0.75+P29/2+P85*0.75+P89*0.75+P92/2+P96/2+P101/2+P105*0.75+P109/2+P112*0.75+P115/2+P119/2+P122/2+P126*0.75+P130*0.75</f>
        <v>0</v>
      </c>
      <c r="Q142" s="250">
        <f>Q5+Q9+Q13+Q16+Q20+Q24+Q28+Q83+Q87+Q91+Q94+Q99+Q103+Q107+Q111+Q114+Q117+Q118+Q121+Q124+Q128</f>
        <v>153179.1</v>
      </c>
      <c r="R142" s="250"/>
      <c r="S142" s="250"/>
    </row>
    <row r="143" spans="1:19" ht="15.75">
      <c r="A143" s="4"/>
      <c r="B143" s="4"/>
      <c r="C143" s="48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</row>
  </sheetData>
  <sheetProtection/>
  <autoFilter ref="S1:S143"/>
  <mergeCells count="43">
    <mergeCell ref="R1:R2"/>
    <mergeCell ref="S1:S2"/>
    <mergeCell ref="A4:P4"/>
    <mergeCell ref="A8:P8"/>
    <mergeCell ref="A1:A2"/>
    <mergeCell ref="B1:B2"/>
    <mergeCell ref="C1:C2"/>
    <mergeCell ref="D1:D2"/>
    <mergeCell ref="E1:J1"/>
    <mergeCell ref="K1:K2"/>
    <mergeCell ref="L1:N1"/>
    <mergeCell ref="A12:P12"/>
    <mergeCell ref="A15:P15"/>
    <mergeCell ref="A19:P19"/>
    <mergeCell ref="A23:P23"/>
    <mergeCell ref="O1:Q1"/>
    <mergeCell ref="A27:P27"/>
    <mergeCell ref="A31:P31"/>
    <mergeCell ref="A38:P38"/>
    <mergeCell ref="A41:P41"/>
    <mergeCell ref="A45:P45"/>
    <mergeCell ref="A48:P48"/>
    <mergeCell ref="A52:P52"/>
    <mergeCell ref="A56:P56"/>
    <mergeCell ref="A59:P59"/>
    <mergeCell ref="A62:P62"/>
    <mergeCell ref="A66:P66"/>
    <mergeCell ref="A70:P70"/>
    <mergeCell ref="A73:P73"/>
    <mergeCell ref="A77:P77"/>
    <mergeCell ref="A82:P82"/>
    <mergeCell ref="A86:P86"/>
    <mergeCell ref="A90:P90"/>
    <mergeCell ref="A93:P93"/>
    <mergeCell ref="A98:P98"/>
    <mergeCell ref="A102:P102"/>
    <mergeCell ref="A127:P127"/>
    <mergeCell ref="A106:P106"/>
    <mergeCell ref="A110:P110"/>
    <mergeCell ref="A113:P113"/>
    <mergeCell ref="A116:P116"/>
    <mergeCell ref="A120:P120"/>
    <mergeCell ref="A123:P123"/>
  </mergeCells>
  <printOptions/>
  <pageMargins left="0.2362204724409449" right="0.15748031496062992" top="0.36" bottom="0.15748031496062992" header="0.25" footer="0.15748031496062992"/>
  <pageSetup orientation="landscape" paperSize="9" scale="74" r:id="rId1"/>
  <rowBreaks count="1" manualBreakCount="1">
    <brk id="96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V117"/>
  <sheetViews>
    <sheetView view="pageBreakPreview" zoomScale="80" zoomScaleNormal="75" zoomScaleSheetLayoutView="80" workbookViewId="0" topLeftCell="A1">
      <selection activeCell="H3" sqref="H3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11.25390625" style="55" customWidth="1"/>
    <col min="4" max="4" width="14.125" style="0" customWidth="1"/>
    <col min="5" max="5" width="13.25390625" style="0" customWidth="1"/>
    <col min="6" max="6" width="11.75390625" style="0" customWidth="1"/>
    <col min="7" max="7" width="10.625" style="0" customWidth="1"/>
    <col min="8" max="8" width="12.625" style="0" customWidth="1"/>
    <col min="9" max="9" width="14.00390625" style="0" customWidth="1"/>
    <col min="10" max="10" width="9.25390625" style="0" customWidth="1"/>
    <col min="11" max="11" width="14.125" style="0" customWidth="1"/>
    <col min="12" max="12" width="14.625" style="0" customWidth="1"/>
    <col min="13" max="14" width="11.625" style="0" customWidth="1"/>
    <col min="15" max="15" width="11.00390625" style="0" customWidth="1"/>
    <col min="16" max="16" width="10.75390625" style="0" customWidth="1"/>
    <col min="17" max="17" width="14.25390625" style="0" customWidth="1"/>
    <col min="18" max="18" width="11.75390625" style="0" customWidth="1"/>
    <col min="19" max="19" width="11.625" style="0" customWidth="1"/>
    <col min="20" max="20" width="11.375" style="0" customWidth="1"/>
    <col min="21" max="21" width="12.125" style="0" customWidth="1"/>
  </cols>
  <sheetData>
    <row r="1" spans="1:18" ht="14.25" customHeight="1">
      <c r="A1" s="607" t="s">
        <v>122</v>
      </c>
      <c r="B1" s="607" t="s">
        <v>1</v>
      </c>
      <c r="C1" s="641" t="s">
        <v>2</v>
      </c>
      <c r="D1" s="607" t="s">
        <v>141</v>
      </c>
      <c r="E1" s="604" t="s">
        <v>82</v>
      </c>
      <c r="F1" s="605"/>
      <c r="G1" s="605"/>
      <c r="H1" s="605"/>
      <c r="I1" s="605"/>
      <c r="J1" s="606"/>
      <c r="K1" s="612" t="s">
        <v>245</v>
      </c>
      <c r="L1" s="604" t="s">
        <v>85</v>
      </c>
      <c r="M1" s="605"/>
      <c r="N1" s="605"/>
      <c r="O1" s="604" t="s">
        <v>88</v>
      </c>
      <c r="P1" s="605"/>
      <c r="Q1" s="607" t="s">
        <v>3</v>
      </c>
      <c r="R1" s="607" t="s">
        <v>4</v>
      </c>
    </row>
    <row r="2" spans="1:18" ht="54.75" customHeight="1">
      <c r="A2" s="608"/>
      <c r="B2" s="608"/>
      <c r="C2" s="642"/>
      <c r="D2" s="608"/>
      <c r="E2" s="50" t="s">
        <v>159</v>
      </c>
      <c r="F2" s="50" t="s">
        <v>90</v>
      </c>
      <c r="G2" s="50" t="s">
        <v>185</v>
      </c>
      <c r="H2" s="50" t="s">
        <v>246</v>
      </c>
      <c r="I2" s="50" t="s">
        <v>244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608"/>
      <c r="R2" s="608"/>
    </row>
    <row r="3" spans="1:18" ht="12.75">
      <c r="A3" s="51">
        <v>1</v>
      </c>
      <c r="B3" s="52">
        <v>2</v>
      </c>
      <c r="C3" s="237">
        <v>3</v>
      </c>
      <c r="D3" s="52">
        <v>4</v>
      </c>
      <c r="E3" s="52">
        <v>5</v>
      </c>
      <c r="F3" s="60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>
        <v>17</v>
      </c>
      <c r="R3" s="52">
        <v>18</v>
      </c>
    </row>
    <row r="4" spans="1:18" ht="18.75" customHeight="1">
      <c r="A4" s="635" t="s">
        <v>243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464"/>
      <c r="R4" s="465"/>
    </row>
    <row r="5" spans="1:18" ht="19.5" customHeight="1">
      <c r="A5" s="431">
        <v>1</v>
      </c>
      <c r="B5" s="422" t="s">
        <v>17</v>
      </c>
      <c r="C5" s="409">
        <v>0.5</v>
      </c>
      <c r="D5" s="399">
        <f>6700*1</f>
        <v>6700</v>
      </c>
      <c r="E5" s="399"/>
      <c r="F5" s="399"/>
      <c r="G5" s="399"/>
      <c r="H5" s="399"/>
      <c r="I5" s="399"/>
      <c r="J5" s="399"/>
      <c r="K5" s="398">
        <f>SUM(D5:J5)</f>
        <v>6700</v>
      </c>
      <c r="L5" s="399"/>
      <c r="M5" s="399"/>
      <c r="N5" s="399"/>
      <c r="O5" s="399"/>
      <c r="P5" s="399"/>
      <c r="Q5" s="402">
        <f>SUM(K5:P5)*C5</f>
        <v>3350</v>
      </c>
      <c r="R5" s="16">
        <v>3</v>
      </c>
    </row>
    <row r="6" spans="1:18" ht="18" customHeight="1">
      <c r="A6" s="635" t="s">
        <v>242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464"/>
      <c r="R6" s="465"/>
    </row>
    <row r="7" spans="1:18" ht="20.25" customHeight="1">
      <c r="A7" s="431">
        <v>1</v>
      </c>
      <c r="B7" s="422" t="s">
        <v>17</v>
      </c>
      <c r="C7" s="409">
        <v>0.5</v>
      </c>
      <c r="D7" s="399">
        <f>6700*1</f>
        <v>6700</v>
      </c>
      <c r="E7" s="399"/>
      <c r="F7" s="399"/>
      <c r="G7" s="399"/>
      <c r="H7" s="399"/>
      <c r="I7" s="399"/>
      <c r="J7" s="399"/>
      <c r="K7" s="398">
        <f>SUM(D7:J7)</f>
        <v>6700</v>
      </c>
      <c r="L7" s="399"/>
      <c r="M7" s="399"/>
      <c r="N7" s="399"/>
      <c r="O7" s="399"/>
      <c r="P7" s="399"/>
      <c r="Q7" s="402">
        <f>SUM(K7:P7)*C7</f>
        <v>3350</v>
      </c>
      <c r="R7" s="16">
        <v>3</v>
      </c>
    </row>
    <row r="8" spans="1:18" ht="17.25" customHeight="1">
      <c r="A8" s="635" t="s">
        <v>241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464"/>
      <c r="R8" s="465"/>
    </row>
    <row r="9" spans="1:18" ht="18.75" customHeight="1">
      <c r="A9" s="431">
        <v>1</v>
      </c>
      <c r="B9" s="422" t="s">
        <v>17</v>
      </c>
      <c r="C9" s="409">
        <v>0.5</v>
      </c>
      <c r="D9" s="399">
        <f>6700*1</f>
        <v>6700</v>
      </c>
      <c r="E9" s="399"/>
      <c r="F9" s="399"/>
      <c r="G9" s="399"/>
      <c r="H9" s="399"/>
      <c r="I9" s="399"/>
      <c r="J9" s="399"/>
      <c r="K9" s="398">
        <f>SUM(D9:J9)</f>
        <v>6700</v>
      </c>
      <c r="L9" s="399"/>
      <c r="M9" s="399"/>
      <c r="N9" s="399"/>
      <c r="O9" s="399"/>
      <c r="P9" s="399"/>
      <c r="Q9" s="402">
        <f>SUM(K9:P9)*C9</f>
        <v>3350</v>
      </c>
      <c r="R9" s="16">
        <v>3</v>
      </c>
    </row>
    <row r="10" spans="1:18" ht="18" customHeight="1">
      <c r="A10" s="639" t="s">
        <v>38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115"/>
      <c r="R10" s="116"/>
    </row>
    <row r="11" spans="1:18" ht="18.75" hidden="1">
      <c r="A11" s="431"/>
      <c r="B11" s="422"/>
      <c r="C11" s="409"/>
      <c r="D11" s="398"/>
      <c r="E11" s="399"/>
      <c r="F11" s="399"/>
      <c r="G11" s="399"/>
      <c r="H11" s="399"/>
      <c r="I11" s="399"/>
      <c r="J11" s="399"/>
      <c r="K11" s="398"/>
      <c r="L11" s="399"/>
      <c r="M11" s="399"/>
      <c r="N11" s="398"/>
      <c r="O11" s="399"/>
      <c r="P11" s="399"/>
      <c r="Q11" s="402"/>
      <c r="R11" s="16"/>
    </row>
    <row r="12" spans="1:18" ht="18" customHeight="1">
      <c r="A12" s="431">
        <v>1</v>
      </c>
      <c r="B12" s="422" t="s">
        <v>17</v>
      </c>
      <c r="C12" s="409">
        <v>0.5</v>
      </c>
      <c r="D12" s="399">
        <f>6700*1</f>
        <v>6700</v>
      </c>
      <c r="E12" s="399"/>
      <c r="F12" s="399"/>
      <c r="G12" s="399"/>
      <c r="H12" s="399"/>
      <c r="I12" s="399"/>
      <c r="J12" s="399"/>
      <c r="K12" s="398">
        <f>SUM(D12:J12)</f>
        <v>6700</v>
      </c>
      <c r="L12" s="399"/>
      <c r="M12" s="399"/>
      <c r="N12" s="399"/>
      <c r="O12" s="399"/>
      <c r="P12" s="399"/>
      <c r="Q12" s="402">
        <f>SUM(K12:P12)*C12</f>
        <v>3350</v>
      </c>
      <c r="R12" s="16">
        <v>3</v>
      </c>
    </row>
    <row r="13" spans="1:18" ht="18" customHeight="1">
      <c r="A13" s="635" t="s">
        <v>41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462"/>
      <c r="R13" s="463"/>
    </row>
    <row r="14" spans="1:18" ht="18.75" hidden="1">
      <c r="A14" s="431"/>
      <c r="B14" s="422"/>
      <c r="C14" s="409"/>
      <c r="D14" s="398"/>
      <c r="E14" s="399"/>
      <c r="F14" s="399"/>
      <c r="G14" s="399"/>
      <c r="H14" s="399"/>
      <c r="I14" s="399"/>
      <c r="J14" s="399"/>
      <c r="K14" s="398"/>
      <c r="L14" s="399"/>
      <c r="M14" s="399"/>
      <c r="N14" s="398"/>
      <c r="O14" s="399"/>
      <c r="P14" s="399"/>
      <c r="Q14" s="402"/>
      <c r="R14" s="16"/>
    </row>
    <row r="15" spans="1:18" ht="19.5" customHeight="1">
      <c r="A15" s="431">
        <v>1</v>
      </c>
      <c r="B15" s="422" t="s">
        <v>17</v>
      </c>
      <c r="C15" s="409">
        <v>0.5</v>
      </c>
      <c r="D15" s="399">
        <f>6700*1</f>
        <v>6700</v>
      </c>
      <c r="E15" s="399"/>
      <c r="F15" s="399"/>
      <c r="G15" s="399"/>
      <c r="H15" s="399"/>
      <c r="I15" s="399"/>
      <c r="J15" s="399"/>
      <c r="K15" s="398">
        <f>SUM(D15:J15)</f>
        <v>6700</v>
      </c>
      <c r="L15" s="399"/>
      <c r="M15" s="399"/>
      <c r="N15" s="399"/>
      <c r="O15" s="399"/>
      <c r="P15" s="399"/>
      <c r="Q15" s="402">
        <f>SUM(K15:P15)*C15</f>
        <v>3350</v>
      </c>
      <c r="R15" s="16">
        <v>3</v>
      </c>
    </row>
    <row r="16" spans="1:18" ht="18" customHeight="1">
      <c r="A16" s="635" t="s">
        <v>44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464"/>
      <c r="R16" s="465"/>
    </row>
    <row r="17" spans="1:18" ht="18.75" hidden="1">
      <c r="A17" s="431"/>
      <c r="B17" s="422"/>
      <c r="C17" s="409"/>
      <c r="D17" s="398"/>
      <c r="E17" s="399"/>
      <c r="F17" s="399"/>
      <c r="G17" s="399"/>
      <c r="H17" s="399"/>
      <c r="I17" s="399"/>
      <c r="J17" s="399"/>
      <c r="K17" s="398"/>
      <c r="L17" s="399"/>
      <c r="M17" s="399"/>
      <c r="N17" s="399"/>
      <c r="O17" s="399"/>
      <c r="P17" s="399"/>
      <c r="Q17" s="402"/>
      <c r="R17" s="16"/>
    </row>
    <row r="18" spans="1:18" ht="18" customHeight="1">
      <c r="A18" s="431">
        <v>1</v>
      </c>
      <c r="B18" s="422" t="s">
        <v>17</v>
      </c>
      <c r="C18" s="409">
        <v>0.5</v>
      </c>
      <c r="D18" s="399">
        <f>6700*1</f>
        <v>6700</v>
      </c>
      <c r="E18" s="399"/>
      <c r="F18" s="399"/>
      <c r="G18" s="399"/>
      <c r="H18" s="399"/>
      <c r="I18" s="399"/>
      <c r="J18" s="399"/>
      <c r="K18" s="398">
        <f>SUM(D18:J18)</f>
        <v>6700</v>
      </c>
      <c r="L18" s="399"/>
      <c r="M18" s="399"/>
      <c r="N18" s="399"/>
      <c r="O18" s="399"/>
      <c r="P18" s="399"/>
      <c r="Q18" s="402">
        <f>SUM(K18:P18)*C18</f>
        <v>3350</v>
      </c>
      <c r="R18" s="16">
        <v>3</v>
      </c>
    </row>
    <row r="19" spans="1:18" ht="18.75" hidden="1">
      <c r="A19" s="431"/>
      <c r="B19" s="422"/>
      <c r="C19" s="409"/>
      <c r="D19" s="399"/>
      <c r="E19" s="399"/>
      <c r="F19" s="399"/>
      <c r="G19" s="399"/>
      <c r="H19" s="399"/>
      <c r="I19" s="399"/>
      <c r="J19" s="399"/>
      <c r="K19" s="398"/>
      <c r="L19" s="399"/>
      <c r="M19" s="399"/>
      <c r="N19" s="399"/>
      <c r="O19" s="399"/>
      <c r="P19" s="399"/>
      <c r="Q19" s="402"/>
      <c r="R19" s="16"/>
    </row>
    <row r="20" spans="1:18" ht="18" customHeight="1">
      <c r="A20" s="635" t="s">
        <v>43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464"/>
      <c r="R20" s="465"/>
    </row>
    <row r="21" spans="1:18" ht="18.75" customHeight="1">
      <c r="A21" s="431">
        <v>1</v>
      </c>
      <c r="B21" s="422" t="s">
        <v>17</v>
      </c>
      <c r="C21" s="409">
        <v>0.5</v>
      </c>
      <c r="D21" s="399">
        <f>6700*1</f>
        <v>6700</v>
      </c>
      <c r="E21" s="399"/>
      <c r="F21" s="399"/>
      <c r="G21" s="399"/>
      <c r="H21" s="399"/>
      <c r="I21" s="399"/>
      <c r="J21" s="399"/>
      <c r="K21" s="398">
        <f>SUM(D21:J21)</f>
        <v>6700</v>
      </c>
      <c r="L21" s="399"/>
      <c r="M21" s="399"/>
      <c r="N21" s="399"/>
      <c r="O21" s="399"/>
      <c r="P21" s="399"/>
      <c r="Q21" s="402">
        <f>SUM(K21:P21)*C21</f>
        <v>3350</v>
      </c>
      <c r="R21" s="16">
        <v>3</v>
      </c>
    </row>
    <row r="22" spans="1:18" ht="18.75" hidden="1">
      <c r="A22" s="431"/>
      <c r="B22" s="422"/>
      <c r="C22" s="17"/>
      <c r="D22" s="399"/>
      <c r="E22" s="399"/>
      <c r="F22" s="399"/>
      <c r="G22" s="399"/>
      <c r="H22" s="399"/>
      <c r="I22" s="399"/>
      <c r="J22" s="399"/>
      <c r="K22" s="398"/>
      <c r="L22" s="399"/>
      <c r="M22" s="399"/>
      <c r="N22" s="399"/>
      <c r="O22" s="399"/>
      <c r="P22" s="399"/>
      <c r="Q22" s="402"/>
      <c r="R22" s="16"/>
    </row>
    <row r="23" spans="1:18" ht="18.75" hidden="1">
      <c r="A23" s="431"/>
      <c r="B23" s="422"/>
      <c r="C23" s="409"/>
      <c r="D23" s="399"/>
      <c r="E23" s="399"/>
      <c r="F23" s="399"/>
      <c r="G23" s="399"/>
      <c r="H23" s="399"/>
      <c r="I23" s="399"/>
      <c r="J23" s="399"/>
      <c r="K23" s="398"/>
      <c r="L23" s="399"/>
      <c r="M23" s="399"/>
      <c r="N23" s="399"/>
      <c r="O23" s="399"/>
      <c r="P23" s="399"/>
      <c r="Q23" s="402"/>
      <c r="R23" s="16"/>
    </row>
    <row r="24" spans="1:18" ht="18" customHeight="1" hidden="1">
      <c r="A24" s="635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464"/>
      <c r="R24" s="465"/>
    </row>
    <row r="25" spans="1:18" ht="18.75" hidden="1">
      <c r="A25" s="397"/>
      <c r="B25" s="461"/>
      <c r="C25" s="417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402"/>
      <c r="R25" s="418"/>
    </row>
    <row r="26" spans="1:18" ht="18.75" hidden="1">
      <c r="A26" s="431"/>
      <c r="B26" s="422"/>
      <c r="C26" s="409"/>
      <c r="D26" s="399"/>
      <c r="E26" s="399"/>
      <c r="F26" s="399"/>
      <c r="G26" s="399"/>
      <c r="H26" s="399"/>
      <c r="I26" s="399"/>
      <c r="J26" s="399"/>
      <c r="K26" s="398"/>
      <c r="L26" s="399"/>
      <c r="M26" s="399"/>
      <c r="N26" s="399"/>
      <c r="O26" s="399"/>
      <c r="P26" s="399"/>
      <c r="Q26" s="402"/>
      <c r="R26" s="16"/>
    </row>
    <row r="27" spans="1:18" ht="18" hidden="1">
      <c r="A27" s="383"/>
      <c r="B27" s="383"/>
      <c r="C27" s="466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</row>
    <row r="28" spans="1:18" ht="18" hidden="1">
      <c r="A28" s="383"/>
      <c r="B28" s="383"/>
      <c r="C28" s="466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</row>
    <row r="29" spans="1:18" ht="18" hidden="1">
      <c r="A29" s="383"/>
      <c r="B29" s="383"/>
      <c r="C29" s="466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8.75" hidden="1">
      <c r="A30" s="24">
        <v>1</v>
      </c>
      <c r="B30" s="467">
        <v>2</v>
      </c>
      <c r="C30" s="468">
        <v>3</v>
      </c>
      <c r="D30" s="467">
        <v>4</v>
      </c>
      <c r="E30" s="467">
        <v>5</v>
      </c>
      <c r="F30" s="467">
        <v>6</v>
      </c>
      <c r="G30" s="467">
        <v>7</v>
      </c>
      <c r="H30" s="467">
        <v>8</v>
      </c>
      <c r="I30" s="467">
        <v>9</v>
      </c>
      <c r="J30" s="467">
        <v>10</v>
      </c>
      <c r="K30" s="467">
        <v>11</v>
      </c>
      <c r="L30" s="467">
        <v>12</v>
      </c>
      <c r="M30" s="467">
        <v>13</v>
      </c>
      <c r="N30" s="467">
        <v>14</v>
      </c>
      <c r="O30" s="467">
        <v>15</v>
      </c>
      <c r="P30" s="467">
        <v>16</v>
      </c>
      <c r="Q30" s="467">
        <v>17</v>
      </c>
      <c r="R30" s="467">
        <v>18</v>
      </c>
    </row>
    <row r="31" spans="1:18" ht="18" customHeight="1" hidden="1">
      <c r="A31" s="635"/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464"/>
      <c r="R31" s="465"/>
    </row>
    <row r="32" spans="1:18" ht="18.75" hidden="1">
      <c r="A32" s="397"/>
      <c r="B32" s="461"/>
      <c r="C32" s="417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402"/>
      <c r="R32" s="418"/>
    </row>
    <row r="33" spans="1:18" ht="18.75" hidden="1">
      <c r="A33" s="431"/>
      <c r="B33" s="422"/>
      <c r="C33" s="17"/>
      <c r="D33" s="399"/>
      <c r="E33" s="399"/>
      <c r="F33" s="399"/>
      <c r="G33" s="399"/>
      <c r="H33" s="399"/>
      <c r="I33" s="399"/>
      <c r="J33" s="399"/>
      <c r="K33" s="398"/>
      <c r="L33" s="399"/>
      <c r="M33" s="399"/>
      <c r="N33" s="399"/>
      <c r="O33" s="399"/>
      <c r="P33" s="399"/>
      <c r="Q33" s="402"/>
      <c r="R33" s="16"/>
    </row>
    <row r="34" spans="1:18" ht="5.25" customHeight="1" hidden="1">
      <c r="A34" s="635"/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464"/>
      <c r="R34" s="465"/>
    </row>
    <row r="35" spans="1:18" ht="18.75" hidden="1">
      <c r="A35" s="397"/>
      <c r="B35" s="461"/>
      <c r="C35" s="417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402"/>
      <c r="R35" s="418"/>
    </row>
    <row r="36" spans="1:18" ht="18.75" hidden="1">
      <c r="A36" s="431"/>
      <c r="B36" s="422"/>
      <c r="C36" s="409"/>
      <c r="D36" s="398"/>
      <c r="E36" s="399"/>
      <c r="F36" s="399"/>
      <c r="G36" s="399"/>
      <c r="H36" s="399"/>
      <c r="I36" s="399"/>
      <c r="J36" s="399"/>
      <c r="K36" s="398"/>
      <c r="L36" s="399"/>
      <c r="M36" s="399"/>
      <c r="N36" s="398"/>
      <c r="O36" s="399"/>
      <c r="P36" s="399"/>
      <c r="Q36" s="402"/>
      <c r="R36" s="16"/>
    </row>
    <row r="37" spans="1:18" ht="18.75" hidden="1">
      <c r="A37" s="431"/>
      <c r="B37" s="422"/>
      <c r="C37" s="17"/>
      <c r="D37" s="399"/>
      <c r="E37" s="399"/>
      <c r="F37" s="399"/>
      <c r="G37" s="399"/>
      <c r="H37" s="399"/>
      <c r="I37" s="399"/>
      <c r="J37" s="399"/>
      <c r="K37" s="398"/>
      <c r="L37" s="399"/>
      <c r="M37" s="399"/>
      <c r="N37" s="399"/>
      <c r="O37" s="399"/>
      <c r="P37" s="399"/>
      <c r="Q37" s="402"/>
      <c r="R37" s="16"/>
    </row>
    <row r="38" spans="1:18" ht="18" customHeight="1" hidden="1">
      <c r="A38" s="635"/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464"/>
      <c r="R38" s="465"/>
    </row>
    <row r="39" spans="1:18" ht="18.75" hidden="1">
      <c r="A39" s="397"/>
      <c r="B39" s="461"/>
      <c r="C39" s="417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402"/>
      <c r="R39" s="418"/>
    </row>
    <row r="40" spans="1:18" ht="18.75" hidden="1">
      <c r="A40" s="431"/>
      <c r="B40" s="422"/>
      <c r="C40" s="409"/>
      <c r="D40" s="399"/>
      <c r="E40" s="399"/>
      <c r="F40" s="399"/>
      <c r="G40" s="399"/>
      <c r="H40" s="399"/>
      <c r="I40" s="399"/>
      <c r="J40" s="399"/>
      <c r="K40" s="398"/>
      <c r="L40" s="399"/>
      <c r="M40" s="399"/>
      <c r="N40" s="399"/>
      <c r="O40" s="399"/>
      <c r="P40" s="399"/>
      <c r="Q40" s="402"/>
      <c r="R40" s="16"/>
    </row>
    <row r="41" spans="1:18" ht="18" customHeight="1" hidden="1">
      <c r="A41" s="635"/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464"/>
      <c r="R41" s="465"/>
    </row>
    <row r="42" spans="1:18" ht="18.75" hidden="1">
      <c r="A42" s="397"/>
      <c r="B42" s="461"/>
      <c r="C42" s="417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402"/>
      <c r="R42" s="418"/>
    </row>
    <row r="43" spans="1:18" ht="18.75" hidden="1">
      <c r="A43" s="431"/>
      <c r="B43" s="422"/>
      <c r="C43" s="409"/>
      <c r="D43" s="398"/>
      <c r="E43" s="399"/>
      <c r="F43" s="399"/>
      <c r="G43" s="399"/>
      <c r="H43" s="399"/>
      <c r="I43" s="399"/>
      <c r="J43" s="399"/>
      <c r="K43" s="398"/>
      <c r="L43" s="399"/>
      <c r="M43" s="399"/>
      <c r="N43" s="399"/>
      <c r="O43" s="399"/>
      <c r="P43" s="399"/>
      <c r="Q43" s="402"/>
      <c r="R43" s="16"/>
    </row>
    <row r="44" spans="1:18" ht="18.75" hidden="1">
      <c r="A44" s="431"/>
      <c r="B44" s="15"/>
      <c r="C44" s="17"/>
      <c r="D44" s="399"/>
      <c r="E44" s="399"/>
      <c r="F44" s="399"/>
      <c r="G44" s="399"/>
      <c r="H44" s="399"/>
      <c r="I44" s="399"/>
      <c r="J44" s="399"/>
      <c r="K44" s="398"/>
      <c r="L44" s="399"/>
      <c r="M44" s="399"/>
      <c r="N44" s="399"/>
      <c r="O44" s="399"/>
      <c r="P44" s="399"/>
      <c r="Q44" s="402"/>
      <c r="R44" s="16"/>
    </row>
    <row r="45" spans="1:18" ht="18" customHeight="1" hidden="1">
      <c r="A45" s="635"/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462"/>
      <c r="R45" s="463"/>
    </row>
    <row r="46" spans="1:18" ht="18.75" hidden="1">
      <c r="A46" s="397"/>
      <c r="B46" s="461"/>
      <c r="C46" s="417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402"/>
      <c r="R46" s="418"/>
    </row>
    <row r="47" spans="1:18" ht="18.75" hidden="1">
      <c r="A47" s="431"/>
      <c r="B47" s="422"/>
      <c r="C47" s="409"/>
      <c r="D47" s="398"/>
      <c r="E47" s="399"/>
      <c r="F47" s="399"/>
      <c r="G47" s="399"/>
      <c r="H47" s="399"/>
      <c r="I47" s="399"/>
      <c r="J47" s="399"/>
      <c r="K47" s="398"/>
      <c r="L47" s="399"/>
      <c r="M47" s="399"/>
      <c r="N47" s="398"/>
      <c r="O47" s="399"/>
      <c r="P47" s="399"/>
      <c r="Q47" s="402"/>
      <c r="R47" s="16"/>
    </row>
    <row r="48" spans="1:18" ht="18.75" hidden="1">
      <c r="A48" s="431"/>
      <c r="B48" s="422"/>
      <c r="C48" s="17"/>
      <c r="D48" s="399"/>
      <c r="E48" s="399"/>
      <c r="F48" s="399"/>
      <c r="G48" s="399"/>
      <c r="H48" s="399"/>
      <c r="I48" s="399"/>
      <c r="J48" s="399"/>
      <c r="K48" s="398"/>
      <c r="L48" s="399"/>
      <c r="M48" s="399"/>
      <c r="N48" s="399"/>
      <c r="O48" s="399"/>
      <c r="P48" s="399"/>
      <c r="Q48" s="402"/>
      <c r="R48" s="16"/>
    </row>
    <row r="49" spans="1:18" ht="18" customHeight="1" hidden="1">
      <c r="A49" s="635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464"/>
      <c r="R49" s="465"/>
    </row>
    <row r="50" spans="1:18" ht="18.75" hidden="1">
      <c r="A50" s="397"/>
      <c r="B50" s="461"/>
      <c r="C50" s="417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402"/>
      <c r="R50" s="418"/>
    </row>
    <row r="51" spans="1:18" ht="18.75" hidden="1">
      <c r="A51" s="431"/>
      <c r="B51" s="422"/>
      <c r="C51" s="409"/>
      <c r="D51" s="399"/>
      <c r="E51" s="399"/>
      <c r="F51" s="399"/>
      <c r="G51" s="399"/>
      <c r="H51" s="399"/>
      <c r="I51" s="399"/>
      <c r="J51" s="399"/>
      <c r="K51" s="398"/>
      <c r="L51" s="399"/>
      <c r="M51" s="399"/>
      <c r="N51" s="399"/>
      <c r="O51" s="399"/>
      <c r="P51" s="399"/>
      <c r="Q51" s="402"/>
      <c r="R51" s="16"/>
    </row>
    <row r="52" spans="1:18" ht="18" customHeight="1" hidden="1">
      <c r="A52" s="635"/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464"/>
      <c r="R52" s="465"/>
    </row>
    <row r="53" spans="1:18" ht="18.75" hidden="1">
      <c r="A53" s="397"/>
      <c r="B53" s="461"/>
      <c r="C53" s="417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402"/>
      <c r="R53" s="418"/>
    </row>
    <row r="54" spans="1:18" ht="18.75" hidden="1">
      <c r="A54" s="431"/>
      <c r="B54" s="422"/>
      <c r="C54" s="17"/>
      <c r="D54" s="399"/>
      <c r="E54" s="399"/>
      <c r="F54" s="399"/>
      <c r="G54" s="399"/>
      <c r="H54" s="399"/>
      <c r="I54" s="399"/>
      <c r="J54" s="399"/>
      <c r="K54" s="398"/>
      <c r="L54" s="399"/>
      <c r="M54" s="399"/>
      <c r="N54" s="399"/>
      <c r="O54" s="399"/>
      <c r="P54" s="399"/>
      <c r="Q54" s="402"/>
      <c r="R54" s="16"/>
    </row>
    <row r="55" spans="1:18" ht="15.75" customHeight="1" hidden="1">
      <c r="A55" s="635"/>
      <c r="B55" s="636"/>
      <c r="C55" s="636"/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464"/>
      <c r="R55" s="465"/>
    </row>
    <row r="56" spans="1:18" ht="18.75" customHeight="1" hidden="1">
      <c r="A56" s="397"/>
      <c r="B56" s="461"/>
      <c r="C56" s="417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402"/>
      <c r="R56" s="418"/>
    </row>
    <row r="57" spans="1:18" ht="18.75" hidden="1">
      <c r="A57" s="431"/>
      <c r="B57" s="422"/>
      <c r="C57" s="409"/>
      <c r="D57" s="398"/>
      <c r="E57" s="399"/>
      <c r="F57" s="399"/>
      <c r="G57" s="399"/>
      <c r="H57" s="399"/>
      <c r="I57" s="399"/>
      <c r="J57" s="399"/>
      <c r="K57" s="398"/>
      <c r="L57" s="399"/>
      <c r="M57" s="399"/>
      <c r="N57" s="399"/>
      <c r="O57" s="399"/>
      <c r="P57" s="399"/>
      <c r="Q57" s="402"/>
      <c r="R57" s="16"/>
    </row>
    <row r="58" spans="1:18" ht="18.75" customHeight="1" hidden="1">
      <c r="A58" s="431"/>
      <c r="B58" s="422"/>
      <c r="C58" s="17"/>
      <c r="D58" s="399"/>
      <c r="E58" s="399"/>
      <c r="F58" s="399"/>
      <c r="G58" s="399"/>
      <c r="H58" s="399"/>
      <c r="I58" s="399"/>
      <c r="J58" s="399"/>
      <c r="K58" s="398"/>
      <c r="L58" s="399"/>
      <c r="M58" s="399"/>
      <c r="N58" s="399"/>
      <c r="O58" s="399"/>
      <c r="P58" s="399"/>
      <c r="Q58" s="402"/>
      <c r="R58" s="16"/>
    </row>
    <row r="59" spans="1:18" ht="12" customHeight="1" hidden="1">
      <c r="A59" s="635"/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464"/>
      <c r="R59" s="465"/>
    </row>
    <row r="60" spans="1:18" ht="18.75" hidden="1">
      <c r="A60" s="397"/>
      <c r="B60" s="461"/>
      <c r="C60" s="417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402"/>
      <c r="R60" s="418"/>
    </row>
    <row r="61" spans="1:18" ht="18.75" hidden="1">
      <c r="A61" s="397"/>
      <c r="B61" s="411"/>
      <c r="C61" s="412"/>
      <c r="D61" s="399"/>
      <c r="E61" s="399"/>
      <c r="F61" s="413"/>
      <c r="G61" s="413"/>
      <c r="H61" s="413"/>
      <c r="I61" s="413"/>
      <c r="J61" s="413"/>
      <c r="K61" s="398"/>
      <c r="L61" s="413"/>
      <c r="M61" s="413"/>
      <c r="N61" s="398"/>
      <c r="O61" s="413"/>
      <c r="P61" s="413"/>
      <c r="Q61" s="402"/>
      <c r="R61" s="415"/>
    </row>
    <row r="62" spans="1:18" ht="18.75" hidden="1">
      <c r="A62" s="24">
        <v>1</v>
      </c>
      <c r="B62" s="467">
        <v>2</v>
      </c>
      <c r="C62" s="468">
        <v>3</v>
      </c>
      <c r="D62" s="467">
        <v>4</v>
      </c>
      <c r="E62" s="467">
        <v>5</v>
      </c>
      <c r="F62" s="467">
        <v>6</v>
      </c>
      <c r="G62" s="467">
        <v>7</v>
      </c>
      <c r="H62" s="467">
        <v>8</v>
      </c>
      <c r="I62" s="467">
        <v>9</v>
      </c>
      <c r="J62" s="467">
        <v>10</v>
      </c>
      <c r="K62" s="467">
        <v>11</v>
      </c>
      <c r="L62" s="467">
        <v>12</v>
      </c>
      <c r="M62" s="467">
        <v>13</v>
      </c>
      <c r="N62" s="467">
        <v>14</v>
      </c>
      <c r="O62" s="467">
        <v>15</v>
      </c>
      <c r="P62" s="467">
        <v>16</v>
      </c>
      <c r="Q62" s="467">
        <v>17</v>
      </c>
      <c r="R62" s="467">
        <v>18</v>
      </c>
    </row>
    <row r="63" spans="1:18" ht="18" customHeight="1" hidden="1">
      <c r="A63" s="635"/>
      <c r="B63" s="636"/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464"/>
      <c r="R63" s="465"/>
    </row>
    <row r="64" spans="1:18" ht="18.75" hidden="1">
      <c r="A64" s="397"/>
      <c r="B64" s="461"/>
      <c r="C64" s="417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402"/>
      <c r="R64" s="418"/>
    </row>
    <row r="65" spans="1:18" ht="18.75" hidden="1">
      <c r="A65" s="431"/>
      <c r="B65" s="15"/>
      <c r="C65" s="17"/>
      <c r="D65" s="399"/>
      <c r="E65" s="399"/>
      <c r="F65" s="399"/>
      <c r="G65" s="399"/>
      <c r="H65" s="399"/>
      <c r="I65" s="399"/>
      <c r="J65" s="399"/>
      <c r="K65" s="398"/>
      <c r="L65" s="399"/>
      <c r="M65" s="399"/>
      <c r="N65" s="399"/>
      <c r="O65" s="399"/>
      <c r="P65" s="399"/>
      <c r="Q65" s="402"/>
      <c r="R65" s="16"/>
    </row>
    <row r="66" spans="1:18" ht="18" customHeight="1" hidden="1">
      <c r="A66" s="635"/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464"/>
      <c r="R66" s="465"/>
    </row>
    <row r="67" spans="1:18" ht="18.75" hidden="1">
      <c r="A67" s="397"/>
      <c r="B67" s="461"/>
      <c r="C67" s="417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402"/>
      <c r="R67" s="418"/>
    </row>
    <row r="68" spans="1:18" ht="18.75" hidden="1">
      <c r="A68" s="431"/>
      <c r="B68" s="422"/>
      <c r="C68" s="409"/>
      <c r="D68" s="398"/>
      <c r="E68" s="399"/>
      <c r="F68" s="399"/>
      <c r="G68" s="399"/>
      <c r="H68" s="399"/>
      <c r="I68" s="399"/>
      <c r="J68" s="399"/>
      <c r="K68" s="398"/>
      <c r="L68" s="399"/>
      <c r="M68" s="399"/>
      <c r="N68" s="398"/>
      <c r="O68" s="399"/>
      <c r="P68" s="399"/>
      <c r="Q68" s="402"/>
      <c r="R68" s="16"/>
    </row>
    <row r="69" spans="1:18" ht="18.75" hidden="1">
      <c r="A69" s="431"/>
      <c r="B69" s="422"/>
      <c r="C69" s="17"/>
      <c r="D69" s="399"/>
      <c r="E69" s="399"/>
      <c r="F69" s="399"/>
      <c r="G69" s="399"/>
      <c r="H69" s="399"/>
      <c r="I69" s="399"/>
      <c r="J69" s="399"/>
      <c r="K69" s="398"/>
      <c r="L69" s="399"/>
      <c r="M69" s="399"/>
      <c r="N69" s="399"/>
      <c r="O69" s="399"/>
      <c r="P69" s="399"/>
      <c r="Q69" s="402"/>
      <c r="R69" s="16"/>
    </row>
    <row r="70" spans="1:18" ht="18" customHeight="1" hidden="1">
      <c r="A70" s="635"/>
      <c r="B70" s="636"/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464"/>
      <c r="R70" s="465"/>
    </row>
    <row r="71" spans="1:18" ht="18.75" hidden="1">
      <c r="A71" s="397"/>
      <c r="B71" s="461"/>
      <c r="C71" s="417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402"/>
      <c r="R71" s="418"/>
    </row>
    <row r="72" spans="1:18" ht="18.75" hidden="1">
      <c r="A72" s="431"/>
      <c r="B72" s="422"/>
      <c r="C72" s="409"/>
      <c r="D72" s="399"/>
      <c r="E72" s="399"/>
      <c r="F72" s="399"/>
      <c r="G72" s="399"/>
      <c r="H72" s="399"/>
      <c r="I72" s="399"/>
      <c r="J72" s="399"/>
      <c r="K72" s="398"/>
      <c r="L72" s="399"/>
      <c r="M72" s="399"/>
      <c r="N72" s="398"/>
      <c r="O72" s="399"/>
      <c r="P72" s="399"/>
      <c r="Q72" s="402"/>
      <c r="R72" s="16"/>
    </row>
    <row r="73" spans="1:18" ht="18.75" hidden="1">
      <c r="A73" s="431"/>
      <c r="B73" s="15"/>
      <c r="C73" s="409"/>
      <c r="D73" s="399"/>
      <c r="E73" s="399"/>
      <c r="F73" s="399"/>
      <c r="G73" s="399"/>
      <c r="H73" s="399"/>
      <c r="I73" s="399"/>
      <c r="J73" s="399"/>
      <c r="K73" s="398"/>
      <c r="L73" s="399"/>
      <c r="M73" s="399"/>
      <c r="N73" s="399"/>
      <c r="O73" s="399"/>
      <c r="P73" s="399"/>
      <c r="Q73" s="402"/>
      <c r="R73" s="16"/>
    </row>
    <row r="74" spans="1:22" ht="30.75" customHeight="1" hidden="1">
      <c r="A74" s="34"/>
      <c r="B74" s="15"/>
      <c r="C74" s="17"/>
      <c r="D74" s="17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35"/>
      <c r="R74" s="16"/>
      <c r="S74" s="110"/>
      <c r="T74" s="110"/>
      <c r="U74" s="110"/>
      <c r="V74" s="110"/>
    </row>
    <row r="75" spans="1:22" ht="17.25" customHeight="1">
      <c r="A75" s="637" t="s">
        <v>29</v>
      </c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113"/>
      <c r="R75" s="114"/>
      <c r="S75" s="110"/>
      <c r="T75" s="110"/>
      <c r="U75" s="110"/>
      <c r="V75" s="110"/>
    </row>
    <row r="76" spans="1:22" ht="30.75" customHeight="1" hidden="1">
      <c r="A76" s="431"/>
      <c r="B76" s="422"/>
      <c r="C76" s="409"/>
      <c r="D76" s="398"/>
      <c r="E76" s="399"/>
      <c r="F76" s="399"/>
      <c r="G76" s="399"/>
      <c r="H76" s="399"/>
      <c r="I76" s="399"/>
      <c r="J76" s="399"/>
      <c r="K76" s="398"/>
      <c r="L76" s="399"/>
      <c r="M76" s="399"/>
      <c r="N76" s="398"/>
      <c r="O76" s="399"/>
      <c r="P76" s="399"/>
      <c r="Q76" s="402"/>
      <c r="R76" s="16"/>
      <c r="S76" s="110"/>
      <c r="T76" s="110"/>
      <c r="U76" s="110"/>
      <c r="V76" s="110"/>
    </row>
    <row r="77" spans="1:22" ht="18.75" customHeight="1">
      <c r="A77" s="431">
        <v>1</v>
      </c>
      <c r="B77" s="422" t="s">
        <v>17</v>
      </c>
      <c r="C77" s="409">
        <v>0.5</v>
      </c>
      <c r="D77" s="399">
        <f>6700*1</f>
        <v>6700</v>
      </c>
      <c r="E77" s="399"/>
      <c r="F77" s="399"/>
      <c r="G77" s="399"/>
      <c r="H77" s="399"/>
      <c r="I77" s="399"/>
      <c r="J77" s="399"/>
      <c r="K77" s="398">
        <f>SUM(D77:J77)</f>
        <v>6700</v>
      </c>
      <c r="L77" s="399"/>
      <c r="M77" s="399"/>
      <c r="N77" s="399"/>
      <c r="O77" s="399"/>
      <c r="P77" s="399"/>
      <c r="Q77" s="402">
        <f>SUM(K77:P77)*C77</f>
        <v>3350</v>
      </c>
      <c r="R77" s="16">
        <v>3</v>
      </c>
      <c r="S77" s="110"/>
      <c r="T77" s="110"/>
      <c r="U77" s="110"/>
      <c r="V77" s="110"/>
    </row>
    <row r="78" spans="1:22" ht="18" customHeight="1">
      <c r="A78" s="635" t="s">
        <v>30</v>
      </c>
      <c r="B78" s="636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462"/>
      <c r="R78" s="463"/>
      <c r="S78" s="110"/>
      <c r="T78" s="110"/>
      <c r="U78" s="110"/>
      <c r="V78" s="110"/>
    </row>
    <row r="79" spans="1:22" ht="18.75" customHeight="1" hidden="1">
      <c r="A79" s="431"/>
      <c r="B79" s="422"/>
      <c r="C79" s="409"/>
      <c r="D79" s="398"/>
      <c r="E79" s="399"/>
      <c r="F79" s="399"/>
      <c r="G79" s="399"/>
      <c r="H79" s="399"/>
      <c r="I79" s="399"/>
      <c r="J79" s="399"/>
      <c r="K79" s="398"/>
      <c r="L79" s="399"/>
      <c r="M79" s="399"/>
      <c r="N79" s="398"/>
      <c r="O79" s="399"/>
      <c r="P79" s="399"/>
      <c r="Q79" s="402"/>
      <c r="R79" s="16"/>
      <c r="S79" s="110"/>
      <c r="T79" s="110"/>
      <c r="U79" s="110"/>
      <c r="V79" s="110"/>
    </row>
    <row r="80" spans="1:22" ht="18.75" customHeight="1">
      <c r="A80" s="431">
        <v>1</v>
      </c>
      <c r="B80" s="422" t="s">
        <v>17</v>
      </c>
      <c r="C80" s="409">
        <v>0.5</v>
      </c>
      <c r="D80" s="399">
        <f>6700*1</f>
        <v>6700</v>
      </c>
      <c r="E80" s="399"/>
      <c r="F80" s="399"/>
      <c r="G80" s="399"/>
      <c r="H80" s="399"/>
      <c r="I80" s="399"/>
      <c r="J80" s="399"/>
      <c r="K80" s="398">
        <f>SUM(D80:J80)</f>
        <v>6700</v>
      </c>
      <c r="L80" s="399"/>
      <c r="M80" s="399"/>
      <c r="N80" s="399"/>
      <c r="O80" s="399"/>
      <c r="P80" s="399"/>
      <c r="Q80" s="402">
        <f>SUM(K80:P80)*C80</f>
        <v>3350</v>
      </c>
      <c r="R80" s="16">
        <v>3</v>
      </c>
      <c r="S80" s="110"/>
      <c r="T80" s="110"/>
      <c r="U80" s="110"/>
      <c r="V80" s="110"/>
    </row>
    <row r="81" spans="1:22" ht="17.25" customHeight="1">
      <c r="A81" s="635" t="s">
        <v>31</v>
      </c>
      <c r="B81" s="636"/>
      <c r="C81" s="636"/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464"/>
      <c r="R81" s="465"/>
      <c r="S81" s="110"/>
      <c r="T81" s="110"/>
      <c r="U81" s="110"/>
      <c r="V81" s="110"/>
    </row>
    <row r="82" spans="1:22" ht="18.75" customHeight="1">
      <c r="A82" s="431">
        <v>1</v>
      </c>
      <c r="B82" s="422" t="s">
        <v>17</v>
      </c>
      <c r="C82" s="409">
        <v>0.5</v>
      </c>
      <c r="D82" s="399">
        <f>6700*1</f>
        <v>6700</v>
      </c>
      <c r="E82" s="399"/>
      <c r="F82" s="399"/>
      <c r="G82" s="399"/>
      <c r="H82" s="399"/>
      <c r="I82" s="399"/>
      <c r="J82" s="399"/>
      <c r="K82" s="398">
        <f>SUM(D82:J82)</f>
        <v>6700</v>
      </c>
      <c r="L82" s="399"/>
      <c r="M82" s="399"/>
      <c r="N82" s="399"/>
      <c r="O82" s="399"/>
      <c r="P82" s="399"/>
      <c r="Q82" s="402">
        <f>SUM(K82:P82)*C82</f>
        <v>3350</v>
      </c>
      <c r="R82" s="16">
        <v>3</v>
      </c>
      <c r="S82" s="110"/>
      <c r="T82" s="110"/>
      <c r="U82" s="110"/>
      <c r="V82" s="110"/>
    </row>
    <row r="83" spans="1:22" ht="18" customHeight="1">
      <c r="A83" s="635" t="s">
        <v>32</v>
      </c>
      <c r="B83" s="636"/>
      <c r="C83" s="636"/>
      <c r="D83" s="636"/>
      <c r="E83" s="636"/>
      <c r="F83" s="636"/>
      <c r="G83" s="636"/>
      <c r="H83" s="636"/>
      <c r="I83" s="636"/>
      <c r="J83" s="636"/>
      <c r="K83" s="636"/>
      <c r="L83" s="636"/>
      <c r="M83" s="636"/>
      <c r="N83" s="636"/>
      <c r="O83" s="636"/>
      <c r="P83" s="636"/>
      <c r="Q83" s="464"/>
      <c r="R83" s="465"/>
      <c r="S83" s="110"/>
      <c r="T83" s="110"/>
      <c r="U83" s="110"/>
      <c r="V83" s="110"/>
    </row>
    <row r="84" spans="1:22" ht="18.75" customHeight="1" hidden="1">
      <c r="A84" s="431"/>
      <c r="B84" s="422"/>
      <c r="C84" s="409"/>
      <c r="D84" s="399"/>
      <c r="E84" s="399"/>
      <c r="F84" s="399"/>
      <c r="G84" s="399"/>
      <c r="H84" s="399"/>
      <c r="I84" s="399"/>
      <c r="J84" s="399"/>
      <c r="K84" s="398"/>
      <c r="L84" s="399"/>
      <c r="M84" s="399"/>
      <c r="N84" s="398"/>
      <c r="O84" s="399"/>
      <c r="P84" s="399"/>
      <c r="Q84" s="402"/>
      <c r="R84" s="16"/>
      <c r="S84" s="110"/>
      <c r="T84" s="110"/>
      <c r="U84" s="110"/>
      <c r="V84" s="110"/>
    </row>
    <row r="85" spans="1:22" ht="18.75" customHeight="1">
      <c r="A85" s="431">
        <v>1</v>
      </c>
      <c r="B85" s="422" t="s">
        <v>17</v>
      </c>
      <c r="C85" s="409">
        <v>0.5</v>
      </c>
      <c r="D85" s="399">
        <f>6700*1</f>
        <v>6700</v>
      </c>
      <c r="E85" s="399"/>
      <c r="F85" s="399"/>
      <c r="G85" s="399"/>
      <c r="H85" s="399"/>
      <c r="I85" s="399"/>
      <c r="J85" s="399"/>
      <c r="K85" s="398">
        <f>SUM(D85:J85)</f>
        <v>6700</v>
      </c>
      <c r="L85" s="399"/>
      <c r="M85" s="399"/>
      <c r="N85" s="399"/>
      <c r="O85" s="399"/>
      <c r="P85" s="399"/>
      <c r="Q85" s="402">
        <f>SUM(K85:P85)*C85</f>
        <v>3350</v>
      </c>
      <c r="R85" s="16">
        <v>3</v>
      </c>
      <c r="S85" s="110"/>
      <c r="T85" s="110"/>
      <c r="U85" s="110"/>
      <c r="V85" s="110"/>
    </row>
    <row r="86" spans="1:22" ht="18" customHeight="1">
      <c r="A86" s="633" t="s">
        <v>33</v>
      </c>
      <c r="B86" s="634"/>
      <c r="C86" s="634"/>
      <c r="D86" s="634"/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473"/>
      <c r="R86" s="474"/>
      <c r="S86" s="110"/>
      <c r="T86" s="110"/>
      <c r="U86" s="110"/>
      <c r="V86" s="110"/>
    </row>
    <row r="87" spans="1:22" ht="18.75" customHeight="1" hidden="1">
      <c r="A87" s="431"/>
      <c r="B87" s="422"/>
      <c r="C87" s="409"/>
      <c r="D87" s="398"/>
      <c r="E87" s="399"/>
      <c r="F87" s="399"/>
      <c r="G87" s="399"/>
      <c r="H87" s="399"/>
      <c r="I87" s="399"/>
      <c r="J87" s="399"/>
      <c r="K87" s="398"/>
      <c r="L87" s="399"/>
      <c r="M87" s="399"/>
      <c r="N87" s="398"/>
      <c r="O87" s="399"/>
      <c r="P87" s="399"/>
      <c r="Q87" s="402"/>
      <c r="R87" s="16"/>
      <c r="S87" s="110"/>
      <c r="T87" s="110"/>
      <c r="U87" s="110"/>
      <c r="V87" s="110"/>
    </row>
    <row r="88" spans="1:22" ht="18.75" customHeight="1">
      <c r="A88" s="431">
        <v>1</v>
      </c>
      <c r="B88" s="422" t="s">
        <v>17</v>
      </c>
      <c r="C88" s="409">
        <v>0.5</v>
      </c>
      <c r="D88" s="399">
        <f>6700*1</f>
        <v>6700</v>
      </c>
      <c r="E88" s="399"/>
      <c r="F88" s="399"/>
      <c r="G88" s="399"/>
      <c r="H88" s="399"/>
      <c r="I88" s="399"/>
      <c r="J88" s="399"/>
      <c r="K88" s="398">
        <f>SUM(D88:J88)</f>
        <v>6700</v>
      </c>
      <c r="L88" s="399"/>
      <c r="M88" s="399"/>
      <c r="N88" s="399"/>
      <c r="O88" s="399"/>
      <c r="P88" s="399"/>
      <c r="Q88" s="402">
        <f>SUM(K88:P88)*C88</f>
        <v>3350</v>
      </c>
      <c r="R88" s="16">
        <v>3</v>
      </c>
      <c r="S88" s="110"/>
      <c r="T88" s="110"/>
      <c r="U88" s="110"/>
      <c r="V88" s="110"/>
    </row>
    <row r="89" spans="1:22" ht="18" customHeight="1">
      <c r="A89" s="635" t="s">
        <v>34</v>
      </c>
      <c r="B89" s="636"/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464"/>
      <c r="R89" s="465"/>
      <c r="S89" s="110"/>
      <c r="T89" s="110"/>
      <c r="U89" s="110"/>
      <c r="V89" s="110"/>
    </row>
    <row r="90" spans="1:22" ht="18.75" customHeight="1" hidden="1">
      <c r="A90" s="431"/>
      <c r="B90" s="422"/>
      <c r="C90" s="409"/>
      <c r="D90" s="398"/>
      <c r="E90" s="399"/>
      <c r="F90" s="399"/>
      <c r="G90" s="399"/>
      <c r="H90" s="399"/>
      <c r="I90" s="399"/>
      <c r="J90" s="399"/>
      <c r="K90" s="398"/>
      <c r="L90" s="399"/>
      <c r="M90" s="399"/>
      <c r="N90" s="398"/>
      <c r="O90" s="399"/>
      <c r="P90" s="399"/>
      <c r="Q90" s="402"/>
      <c r="R90" s="16"/>
      <c r="S90" s="110"/>
      <c r="T90" s="110"/>
      <c r="U90" s="110"/>
      <c r="V90" s="110"/>
    </row>
    <row r="91" spans="1:22" ht="18.75" customHeight="1">
      <c r="A91" s="431">
        <v>1</v>
      </c>
      <c r="B91" s="422" t="s">
        <v>17</v>
      </c>
      <c r="C91" s="409">
        <v>1</v>
      </c>
      <c r="D91" s="399">
        <f>6700*1</f>
        <v>6700</v>
      </c>
      <c r="E91" s="399"/>
      <c r="F91" s="399"/>
      <c r="G91" s="399"/>
      <c r="H91" s="399"/>
      <c r="I91" s="399"/>
      <c r="J91" s="399"/>
      <c r="K91" s="398">
        <f>SUM(D91:J91)</f>
        <v>6700</v>
      </c>
      <c r="L91" s="399"/>
      <c r="M91" s="399"/>
      <c r="N91" s="399"/>
      <c r="O91" s="399"/>
      <c r="P91" s="399"/>
      <c r="Q91" s="402">
        <f>SUM(K91:P91)*C91</f>
        <v>6700</v>
      </c>
      <c r="R91" s="16">
        <v>3</v>
      </c>
      <c r="S91" s="110"/>
      <c r="T91" s="110"/>
      <c r="U91" s="110"/>
      <c r="V91" s="110"/>
    </row>
    <row r="92" spans="1:22" ht="18" customHeight="1">
      <c r="A92" s="635" t="s">
        <v>35</v>
      </c>
      <c r="B92" s="636"/>
      <c r="C92" s="636"/>
      <c r="D92" s="636"/>
      <c r="E92" s="636"/>
      <c r="F92" s="636"/>
      <c r="G92" s="636"/>
      <c r="H92" s="636"/>
      <c r="I92" s="636"/>
      <c r="J92" s="636"/>
      <c r="K92" s="636"/>
      <c r="L92" s="636"/>
      <c r="M92" s="636"/>
      <c r="N92" s="636"/>
      <c r="O92" s="636"/>
      <c r="P92" s="636"/>
      <c r="Q92" s="464"/>
      <c r="R92" s="465"/>
      <c r="S92" s="110"/>
      <c r="T92" s="110"/>
      <c r="U92" s="110"/>
      <c r="V92" s="110"/>
    </row>
    <row r="93" spans="1:22" ht="18.75" customHeight="1" hidden="1">
      <c r="A93" s="431"/>
      <c r="B93" s="422"/>
      <c r="C93" s="409"/>
      <c r="D93" s="398"/>
      <c r="E93" s="399"/>
      <c r="F93" s="399"/>
      <c r="G93" s="399"/>
      <c r="H93" s="399"/>
      <c r="I93" s="399"/>
      <c r="J93" s="399"/>
      <c r="K93" s="398"/>
      <c r="L93" s="399"/>
      <c r="M93" s="399"/>
      <c r="N93" s="398"/>
      <c r="O93" s="399"/>
      <c r="P93" s="399"/>
      <c r="Q93" s="402"/>
      <c r="R93" s="16"/>
      <c r="S93" s="110"/>
      <c r="T93" s="110"/>
      <c r="U93" s="110"/>
      <c r="V93" s="110"/>
    </row>
    <row r="94" spans="1:22" ht="18.75" customHeight="1">
      <c r="A94" s="431">
        <v>1</v>
      </c>
      <c r="B94" s="422" t="s">
        <v>17</v>
      </c>
      <c r="C94" s="409">
        <v>0.5</v>
      </c>
      <c r="D94" s="399">
        <f>6700*1</f>
        <v>6700</v>
      </c>
      <c r="E94" s="399"/>
      <c r="F94" s="399"/>
      <c r="G94" s="399"/>
      <c r="H94" s="399"/>
      <c r="I94" s="399"/>
      <c r="J94" s="399"/>
      <c r="K94" s="398">
        <f>SUM(D94:J94)</f>
        <v>6700</v>
      </c>
      <c r="L94" s="399"/>
      <c r="M94" s="399"/>
      <c r="N94" s="399"/>
      <c r="O94" s="399"/>
      <c r="P94" s="399"/>
      <c r="Q94" s="402">
        <f>SUM(K94:P94)*C94</f>
        <v>3350</v>
      </c>
      <c r="R94" s="16">
        <v>3</v>
      </c>
      <c r="S94" s="110"/>
      <c r="T94" s="110"/>
      <c r="U94" s="110"/>
      <c r="V94" s="110"/>
    </row>
    <row r="95" spans="1:22" ht="18" customHeight="1">
      <c r="A95" s="635" t="s">
        <v>37</v>
      </c>
      <c r="B95" s="636"/>
      <c r="C95" s="636"/>
      <c r="D95" s="636"/>
      <c r="E95" s="636"/>
      <c r="F95" s="636"/>
      <c r="G95" s="636"/>
      <c r="H95" s="636"/>
      <c r="I95" s="636"/>
      <c r="J95" s="636"/>
      <c r="K95" s="636"/>
      <c r="L95" s="636"/>
      <c r="M95" s="636"/>
      <c r="N95" s="636"/>
      <c r="O95" s="636"/>
      <c r="P95" s="636"/>
      <c r="Q95" s="464"/>
      <c r="R95" s="465"/>
      <c r="S95" s="110"/>
      <c r="T95" s="110"/>
      <c r="U95" s="110"/>
      <c r="V95" s="110"/>
    </row>
    <row r="96" spans="1:22" ht="20.25" customHeight="1">
      <c r="A96" s="431">
        <v>1</v>
      </c>
      <c r="B96" s="422" t="s">
        <v>17</v>
      </c>
      <c r="C96" s="409">
        <v>0.5</v>
      </c>
      <c r="D96" s="399">
        <f>6700*1</f>
        <v>6700</v>
      </c>
      <c r="E96" s="399"/>
      <c r="F96" s="399"/>
      <c r="G96" s="399"/>
      <c r="H96" s="399"/>
      <c r="I96" s="399"/>
      <c r="J96" s="399"/>
      <c r="K96" s="398">
        <f>SUM(D96:J96)</f>
        <v>6700</v>
      </c>
      <c r="L96" s="399"/>
      <c r="M96" s="399"/>
      <c r="N96" s="399"/>
      <c r="O96" s="399"/>
      <c r="P96" s="399"/>
      <c r="Q96" s="402">
        <f>SUM(K96:P96)*C96</f>
        <v>3350</v>
      </c>
      <c r="R96" s="16">
        <v>3</v>
      </c>
      <c r="S96" s="110"/>
      <c r="T96" s="110"/>
      <c r="U96" s="110"/>
      <c r="V96" s="110"/>
    </row>
    <row r="97" spans="1:18" ht="18" customHeight="1">
      <c r="A97" s="635" t="s">
        <v>47</v>
      </c>
      <c r="B97" s="636"/>
      <c r="C97" s="636"/>
      <c r="D97" s="636"/>
      <c r="E97" s="636"/>
      <c r="F97" s="636"/>
      <c r="G97" s="636"/>
      <c r="H97" s="636"/>
      <c r="I97" s="636"/>
      <c r="J97" s="636"/>
      <c r="K97" s="636"/>
      <c r="L97" s="636"/>
      <c r="M97" s="636"/>
      <c r="N97" s="636"/>
      <c r="O97" s="636"/>
      <c r="P97" s="636"/>
      <c r="Q97" s="464"/>
      <c r="R97" s="465"/>
    </row>
    <row r="98" spans="1:18" ht="18.75" customHeight="1" hidden="1">
      <c r="A98" s="431"/>
      <c r="B98" s="422"/>
      <c r="C98" s="409"/>
      <c r="D98" s="399"/>
      <c r="E98" s="399"/>
      <c r="F98" s="399"/>
      <c r="G98" s="399"/>
      <c r="H98" s="399"/>
      <c r="I98" s="399"/>
      <c r="J98" s="399"/>
      <c r="K98" s="398"/>
      <c r="L98" s="399"/>
      <c r="M98" s="399"/>
      <c r="N98" s="398"/>
      <c r="O98" s="399"/>
      <c r="P98" s="399"/>
      <c r="Q98" s="402"/>
      <c r="R98" s="16"/>
    </row>
    <row r="99" spans="1:18" ht="21" customHeight="1">
      <c r="A99" s="431">
        <v>1</v>
      </c>
      <c r="B99" s="15" t="s">
        <v>17</v>
      </c>
      <c r="C99" s="409">
        <v>0.5</v>
      </c>
      <c r="D99" s="399">
        <f>6700*1</f>
        <v>6700</v>
      </c>
      <c r="E99" s="399"/>
      <c r="F99" s="399"/>
      <c r="G99" s="399"/>
      <c r="H99" s="399"/>
      <c r="I99" s="399"/>
      <c r="J99" s="399"/>
      <c r="K99" s="398">
        <f>SUM(D99:J99)</f>
        <v>6700</v>
      </c>
      <c r="L99" s="399"/>
      <c r="M99" s="399"/>
      <c r="N99" s="399"/>
      <c r="O99" s="399"/>
      <c r="P99" s="399"/>
      <c r="Q99" s="402">
        <f>SUM(K99:P99)*C99</f>
        <v>3350</v>
      </c>
      <c r="R99" s="16">
        <v>3</v>
      </c>
    </row>
    <row r="100" spans="1:18" ht="16.5" customHeight="1">
      <c r="A100" s="635" t="s">
        <v>40</v>
      </c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464"/>
      <c r="R100" s="465"/>
    </row>
    <row r="101" spans="1:18" ht="18.75" hidden="1">
      <c r="A101" s="431"/>
      <c r="B101" s="422"/>
      <c r="C101" s="409"/>
      <c r="D101" s="398"/>
      <c r="E101" s="399"/>
      <c r="F101" s="399"/>
      <c r="G101" s="399"/>
      <c r="H101" s="399"/>
      <c r="I101" s="399"/>
      <c r="J101" s="399"/>
      <c r="K101" s="398"/>
      <c r="L101" s="399"/>
      <c r="M101" s="399"/>
      <c r="N101" s="399"/>
      <c r="O101" s="399"/>
      <c r="P101" s="399"/>
      <c r="Q101" s="402"/>
      <c r="R101" s="16"/>
    </row>
    <row r="102" spans="1:18" ht="18.75" customHeight="1">
      <c r="A102" s="431">
        <v>1</v>
      </c>
      <c r="B102" s="15" t="s">
        <v>17</v>
      </c>
      <c r="C102" s="409">
        <v>0.5</v>
      </c>
      <c r="D102" s="399">
        <f>6700*1</f>
        <v>6700</v>
      </c>
      <c r="E102" s="399"/>
      <c r="F102" s="399"/>
      <c r="G102" s="399"/>
      <c r="H102" s="399"/>
      <c r="I102" s="399"/>
      <c r="J102" s="399"/>
      <c r="K102" s="398">
        <f>SUM(D102:J102)</f>
        <v>6700</v>
      </c>
      <c r="L102" s="399"/>
      <c r="M102" s="399"/>
      <c r="N102" s="399"/>
      <c r="O102" s="399"/>
      <c r="P102" s="399"/>
      <c r="Q102" s="402">
        <f>SUM(K102:P102)*C102</f>
        <v>3350</v>
      </c>
      <c r="R102" s="16">
        <v>3</v>
      </c>
    </row>
    <row r="103" spans="1:18" ht="18" customHeight="1">
      <c r="A103" s="635" t="s">
        <v>74</v>
      </c>
      <c r="B103" s="636"/>
      <c r="C103" s="636"/>
      <c r="D103" s="636"/>
      <c r="E103" s="636"/>
      <c r="F103" s="636"/>
      <c r="G103" s="636"/>
      <c r="H103" s="636"/>
      <c r="I103" s="636"/>
      <c r="J103" s="636"/>
      <c r="K103" s="636"/>
      <c r="L103" s="636"/>
      <c r="M103" s="636"/>
      <c r="N103" s="636"/>
      <c r="O103" s="636"/>
      <c r="P103" s="636"/>
      <c r="Q103" s="464"/>
      <c r="R103" s="465"/>
    </row>
    <row r="104" spans="1:18" ht="18.75" hidden="1">
      <c r="A104" s="431"/>
      <c r="B104" s="422"/>
      <c r="C104" s="409"/>
      <c r="D104" s="398"/>
      <c r="E104" s="399"/>
      <c r="F104" s="399"/>
      <c r="G104" s="399"/>
      <c r="H104" s="399"/>
      <c r="I104" s="399"/>
      <c r="J104" s="399"/>
      <c r="K104" s="398"/>
      <c r="L104" s="399"/>
      <c r="M104" s="399"/>
      <c r="N104" s="398"/>
      <c r="O104" s="399"/>
      <c r="P104" s="399"/>
      <c r="Q104" s="402"/>
      <c r="R104" s="16"/>
    </row>
    <row r="105" spans="1:18" ht="20.25" customHeight="1">
      <c r="A105" s="431">
        <v>1</v>
      </c>
      <c r="B105" s="422" t="s">
        <v>17</v>
      </c>
      <c r="C105" s="409">
        <v>0.5</v>
      </c>
      <c r="D105" s="399">
        <f>6700*1</f>
        <v>6700</v>
      </c>
      <c r="E105" s="399"/>
      <c r="F105" s="399"/>
      <c r="G105" s="399"/>
      <c r="H105" s="399"/>
      <c r="I105" s="399"/>
      <c r="J105" s="399"/>
      <c r="K105" s="398">
        <f>SUM(D105:J105)</f>
        <v>6700</v>
      </c>
      <c r="L105" s="399"/>
      <c r="M105" s="399"/>
      <c r="N105" s="399"/>
      <c r="O105" s="399"/>
      <c r="P105" s="399"/>
      <c r="Q105" s="402">
        <f>SUM(K105:P105)*C105</f>
        <v>3350</v>
      </c>
      <c r="R105" s="16">
        <v>3</v>
      </c>
    </row>
    <row r="106" spans="1:22" ht="23.25" customHeight="1">
      <c r="A106" s="431"/>
      <c r="B106" s="422"/>
      <c r="C106" s="17"/>
      <c r="D106" s="399"/>
      <c r="E106" s="399"/>
      <c r="F106" s="399"/>
      <c r="G106" s="399"/>
      <c r="H106" s="399"/>
      <c r="I106" s="399"/>
      <c r="J106" s="399"/>
      <c r="K106" s="398"/>
      <c r="L106" s="399"/>
      <c r="M106" s="399"/>
      <c r="N106" s="399"/>
      <c r="O106" s="399"/>
      <c r="P106" s="399"/>
      <c r="Q106" s="402"/>
      <c r="R106" s="16"/>
      <c r="S106" s="110"/>
      <c r="T106" s="110"/>
      <c r="U106" s="110"/>
      <c r="V106" s="110"/>
    </row>
    <row r="107" spans="1:18" ht="21" customHeight="1">
      <c r="A107" s="423"/>
      <c r="B107" s="469" t="s">
        <v>131</v>
      </c>
      <c r="C107" s="425">
        <f>C108</f>
        <v>9.5</v>
      </c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27">
        <f>Q108</f>
        <v>63650</v>
      </c>
      <c r="R107" s="418"/>
    </row>
    <row r="108" spans="1:21" ht="21.75" customHeight="1">
      <c r="A108" s="10"/>
      <c r="B108" s="20" t="s">
        <v>22</v>
      </c>
      <c r="C108" s="428">
        <f>C5+C7+C9+C12+C15+C18+C21+C77+C80+C82+C85+C88+C91+C94+C96+C99+C102+C105</f>
        <v>9.5</v>
      </c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30">
        <f>Q5+Q7+Q9+Q12+Q15+Q18+Q21+Q77+Q80+Q82+Q85+Q88+Q91+Q94+Q96+Q99+Q102+Q105</f>
        <v>63650</v>
      </c>
      <c r="R108" s="16"/>
      <c r="U108" s="55"/>
    </row>
    <row r="109" spans="1:18" ht="16.5" customHeight="1">
      <c r="A109" s="4"/>
      <c r="B109" s="4"/>
      <c r="C109" s="141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4"/>
      <c r="P109" s="4"/>
      <c r="Q109" s="4"/>
      <c r="R109" s="4"/>
    </row>
    <row r="110" spans="1:18" ht="18.75">
      <c r="A110" s="4"/>
      <c r="B110" s="4"/>
      <c r="C110" s="141"/>
      <c r="D110" s="140" t="str">
        <f>Денихівська!F27</f>
        <v>Інспектор ВК</v>
      </c>
      <c r="E110" s="140"/>
      <c r="F110" s="140"/>
      <c r="G110" s="140"/>
      <c r="H110" s="140"/>
      <c r="I110" s="140"/>
      <c r="J110" s="140"/>
      <c r="K110" s="140" t="str">
        <f>Денихівська!N27</f>
        <v>Тетяна ПРИЩЕПА</v>
      </c>
      <c r="L110" s="140"/>
      <c r="M110" s="140"/>
      <c r="N110" s="140"/>
      <c r="O110" s="4"/>
      <c r="P110" s="4"/>
      <c r="Q110" s="4"/>
      <c r="R110" s="4"/>
    </row>
    <row r="111" spans="1:18" ht="15.75" customHeight="1">
      <c r="A111" s="4"/>
      <c r="B111" s="4"/>
      <c r="C111" s="141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4"/>
      <c r="P111" s="4"/>
      <c r="Q111" s="4"/>
      <c r="R111" s="4"/>
    </row>
    <row r="112" spans="1:18" ht="18.75">
      <c r="A112" s="4"/>
      <c r="B112" s="4"/>
      <c r="C112" s="141"/>
      <c r="D112" s="140" t="str">
        <f>Денихівська!F29</f>
        <v>Економіст</v>
      </c>
      <c r="E112" s="140"/>
      <c r="F112" s="140"/>
      <c r="G112" s="140"/>
      <c r="H112" s="140"/>
      <c r="I112" s="140"/>
      <c r="J112" s="140"/>
      <c r="K112" s="140" t="str">
        <f>Денихівська!N29</f>
        <v>Галина ЛУЧКО</v>
      </c>
      <c r="L112" s="140"/>
      <c r="M112" s="140"/>
      <c r="N112" s="140"/>
      <c r="O112" s="4"/>
      <c r="P112" s="4"/>
      <c r="Q112" s="4"/>
      <c r="R112" s="4"/>
    </row>
    <row r="113" spans="1:18" ht="18.75">
      <c r="A113" s="4"/>
      <c r="B113" s="4"/>
      <c r="C113" s="141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4"/>
      <c r="P113" s="4"/>
      <c r="Q113" s="4"/>
      <c r="R113" s="4"/>
    </row>
    <row r="114" spans="1:18" ht="15.75">
      <c r="A114" s="4"/>
      <c r="B114" s="4"/>
      <c r="C114" s="4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4"/>
      <c r="B115" s="4"/>
      <c r="C115" s="4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>
      <c r="A116" s="4"/>
      <c r="B116" s="4"/>
      <c r="C116" s="48"/>
      <c r="D116" s="250"/>
      <c r="E116" s="250" t="e">
        <f>#REF!+#REF!+#REF!+#REF!+#REF!+#REF!+#REF!</f>
        <v>#REF!</v>
      </c>
      <c r="F116" s="250"/>
      <c r="G116" s="250"/>
      <c r="H116" s="250"/>
      <c r="I116" s="250"/>
      <c r="J116" s="250"/>
      <c r="K116" s="250"/>
      <c r="L116" s="250"/>
      <c r="M116" s="250"/>
      <c r="N116" s="250" t="e">
        <f>#REF!+#REF!+#REF!+#REF!+#REF!+#REF!+#REF!+#REF!+#REF!+#REF!+#REF!+#REF!+#REF!+#REF!+#REF!+#REF!+#REF!+N98+#REF!+#REF!+#REF!</f>
        <v>#REF!</v>
      </c>
      <c r="O116" s="250"/>
      <c r="P116" s="250" t="e">
        <f>P12*0.75+P15*0.75+#REF!/2+P18*0.75+#REF!*0.75+P21*0.75+#REF!/2+P77*0.75+P80*0.75+P82/2+P85/2+P88/2+P91*0.75+P94/2+P96*0.75+#REF!/2+P99/2+#REF!/2+P102*0.75+P105*0.75</f>
        <v>#REF!</v>
      </c>
      <c r="Q116" s="250"/>
      <c r="R116" s="250"/>
    </row>
    <row r="117" spans="1:18" ht="15.75">
      <c r="A117" s="4"/>
      <c r="B117" s="4"/>
      <c r="C117" s="48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</sheetData>
  <sheetProtection/>
  <autoFilter ref="R1:R117"/>
  <mergeCells count="41">
    <mergeCell ref="R1:R2"/>
    <mergeCell ref="A10:P10"/>
    <mergeCell ref="A13:P13"/>
    <mergeCell ref="A1:A2"/>
    <mergeCell ref="B1:B2"/>
    <mergeCell ref="C1:C2"/>
    <mergeCell ref="D1:D2"/>
    <mergeCell ref="E1:J1"/>
    <mergeCell ref="K1:K2"/>
    <mergeCell ref="A16:P16"/>
    <mergeCell ref="A20:P20"/>
    <mergeCell ref="A24:P24"/>
    <mergeCell ref="L1:N1"/>
    <mergeCell ref="O1:P1"/>
    <mergeCell ref="Q1:Q2"/>
    <mergeCell ref="A31:P31"/>
    <mergeCell ref="A34:P34"/>
    <mergeCell ref="A38:P38"/>
    <mergeCell ref="A41:P41"/>
    <mergeCell ref="A45:P45"/>
    <mergeCell ref="A49:P49"/>
    <mergeCell ref="A81:P81"/>
    <mergeCell ref="A83:P83"/>
    <mergeCell ref="A86:P86"/>
    <mergeCell ref="A89:P89"/>
    <mergeCell ref="A52:P52"/>
    <mergeCell ref="A55:P55"/>
    <mergeCell ref="A59:P59"/>
    <mergeCell ref="A63:P63"/>
    <mergeCell ref="A66:P66"/>
    <mergeCell ref="A70:P70"/>
    <mergeCell ref="A103:P103"/>
    <mergeCell ref="A8:P8"/>
    <mergeCell ref="A4:P4"/>
    <mergeCell ref="A6:P6"/>
    <mergeCell ref="A92:P92"/>
    <mergeCell ref="A95:P95"/>
    <mergeCell ref="A97:P97"/>
    <mergeCell ref="A100:P100"/>
    <mergeCell ref="A75:P75"/>
    <mergeCell ref="A78:P78"/>
  </mergeCells>
  <printOptions/>
  <pageMargins left="0.2362204724409449" right="0.15748031496062992" top="0.2362204724409449" bottom="0.15748031496062992" header="0.1968503937007874" footer="0.1574803149606299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26"/>
  <sheetViews>
    <sheetView view="pageBreakPreview" zoomScale="120" zoomScaleSheetLayoutView="120" zoomScalePageLayoutView="0" workbookViewId="0" topLeftCell="A10">
      <selection activeCell="D13" sqref="D13"/>
    </sheetView>
  </sheetViews>
  <sheetFormatPr defaultColWidth="9.00390625" defaultRowHeight="12.75"/>
  <cols>
    <col min="2" max="2" width="15.25390625" style="0" customWidth="1"/>
    <col min="3" max="3" width="11.00390625" style="0" customWidth="1"/>
    <col min="4" max="4" width="13.75390625" style="0" customWidth="1"/>
  </cols>
  <sheetData>
    <row r="5" spans="2:4" ht="18">
      <c r="B5" s="278" t="s">
        <v>206</v>
      </c>
      <c r="C5" s="279" t="s">
        <v>207</v>
      </c>
      <c r="D5" s="279" t="s">
        <v>208</v>
      </c>
    </row>
    <row r="6" spans="2:4" ht="15">
      <c r="B6" s="277">
        <v>1</v>
      </c>
      <c r="C6" s="280">
        <f>6700</f>
        <v>6700</v>
      </c>
      <c r="D6" s="197">
        <f>C6*B6</f>
        <v>6700</v>
      </c>
    </row>
    <row r="7" spans="2:4" ht="15">
      <c r="B7" s="277">
        <v>1.1</v>
      </c>
      <c r="C7" s="280">
        <f>C6</f>
        <v>6700</v>
      </c>
      <c r="D7" s="197">
        <f aca="true" t="shared" si="0" ref="D7:D26">C7*B7</f>
        <v>7370.000000000001</v>
      </c>
    </row>
    <row r="8" spans="2:4" ht="15">
      <c r="B8" s="277">
        <v>1.2</v>
      </c>
      <c r="C8" s="280">
        <f aca="true" t="shared" si="1" ref="C8:C26">C7</f>
        <v>6700</v>
      </c>
      <c r="D8" s="197">
        <f t="shared" si="0"/>
        <v>8040</v>
      </c>
    </row>
    <row r="9" spans="2:4" ht="15">
      <c r="B9" s="277">
        <v>1.3</v>
      </c>
      <c r="C9" s="280">
        <f t="shared" si="1"/>
        <v>6700</v>
      </c>
      <c r="D9" s="197">
        <f t="shared" si="0"/>
        <v>8710</v>
      </c>
    </row>
    <row r="10" spans="2:4" ht="15">
      <c r="B10" s="277">
        <v>1.4</v>
      </c>
      <c r="C10" s="280">
        <f t="shared" si="1"/>
        <v>6700</v>
      </c>
      <c r="D10" s="197">
        <f t="shared" si="0"/>
        <v>9380</v>
      </c>
    </row>
    <row r="11" spans="2:4" ht="15">
      <c r="B11" s="277">
        <v>1.5</v>
      </c>
      <c r="C11" s="280">
        <f t="shared" si="1"/>
        <v>6700</v>
      </c>
      <c r="D11" s="197">
        <f t="shared" si="0"/>
        <v>10050</v>
      </c>
    </row>
    <row r="12" spans="2:4" ht="15">
      <c r="B12" s="277">
        <v>1.6</v>
      </c>
      <c r="C12" s="280">
        <f t="shared" si="1"/>
        <v>6700</v>
      </c>
      <c r="D12" s="197">
        <f t="shared" si="0"/>
        <v>10720</v>
      </c>
    </row>
    <row r="13" spans="2:4" ht="15">
      <c r="B13" s="277">
        <v>1.7</v>
      </c>
      <c r="C13" s="280">
        <f t="shared" si="1"/>
        <v>6700</v>
      </c>
      <c r="D13" s="197">
        <f t="shared" si="0"/>
        <v>11390</v>
      </c>
    </row>
    <row r="14" spans="2:4" ht="15">
      <c r="B14" s="277">
        <v>1.8</v>
      </c>
      <c r="C14" s="280">
        <f t="shared" si="1"/>
        <v>6700</v>
      </c>
      <c r="D14" s="197">
        <f t="shared" si="0"/>
        <v>12060</v>
      </c>
    </row>
    <row r="15" spans="2:4" ht="15">
      <c r="B15" s="277">
        <v>1.9</v>
      </c>
      <c r="C15" s="280">
        <f t="shared" si="1"/>
        <v>6700</v>
      </c>
      <c r="D15" s="197">
        <f t="shared" si="0"/>
        <v>12730</v>
      </c>
    </row>
    <row r="16" spans="2:4" ht="15">
      <c r="B16" s="277">
        <v>2</v>
      </c>
      <c r="C16" s="280">
        <f t="shared" si="1"/>
        <v>6700</v>
      </c>
      <c r="D16" s="197">
        <f t="shared" si="0"/>
        <v>13400</v>
      </c>
    </row>
    <row r="17" spans="2:4" ht="15">
      <c r="B17" s="277">
        <v>2.1</v>
      </c>
      <c r="C17" s="280">
        <f t="shared" si="1"/>
        <v>6700</v>
      </c>
      <c r="D17" s="197">
        <f t="shared" si="0"/>
        <v>14070</v>
      </c>
    </row>
    <row r="18" spans="2:4" ht="15">
      <c r="B18" s="277">
        <v>2.2</v>
      </c>
      <c r="C18" s="280">
        <f t="shared" si="1"/>
        <v>6700</v>
      </c>
      <c r="D18" s="197">
        <f t="shared" si="0"/>
        <v>14740.000000000002</v>
      </c>
    </row>
    <row r="19" spans="2:4" ht="15">
      <c r="B19" s="277">
        <v>2.3</v>
      </c>
      <c r="C19" s="280">
        <f t="shared" si="1"/>
        <v>6700</v>
      </c>
      <c r="D19" s="197">
        <f t="shared" si="0"/>
        <v>15409.999999999998</v>
      </c>
    </row>
    <row r="20" spans="2:4" ht="15">
      <c r="B20" s="277">
        <v>2.4</v>
      </c>
      <c r="C20" s="280">
        <f t="shared" si="1"/>
        <v>6700</v>
      </c>
      <c r="D20" s="197">
        <f t="shared" si="0"/>
        <v>16080</v>
      </c>
    </row>
    <row r="21" spans="2:4" ht="15">
      <c r="B21" s="277">
        <v>2.5</v>
      </c>
      <c r="C21" s="280">
        <f t="shared" si="1"/>
        <v>6700</v>
      </c>
      <c r="D21" s="197">
        <f t="shared" si="0"/>
        <v>16750</v>
      </c>
    </row>
    <row r="22" spans="2:4" ht="15">
      <c r="B22" s="277">
        <v>2.6</v>
      </c>
      <c r="C22" s="280">
        <f t="shared" si="1"/>
        <v>6700</v>
      </c>
      <c r="D22" s="197">
        <f t="shared" si="0"/>
        <v>17420</v>
      </c>
    </row>
    <row r="23" spans="2:4" ht="15">
      <c r="B23" s="277">
        <v>2.7</v>
      </c>
      <c r="C23" s="280">
        <f t="shared" si="1"/>
        <v>6700</v>
      </c>
      <c r="D23" s="197">
        <f t="shared" si="0"/>
        <v>18090</v>
      </c>
    </row>
    <row r="24" spans="2:4" ht="15">
      <c r="B24" s="277">
        <v>2.8</v>
      </c>
      <c r="C24" s="280">
        <f t="shared" si="1"/>
        <v>6700</v>
      </c>
      <c r="D24" s="197">
        <f t="shared" si="0"/>
        <v>18760</v>
      </c>
    </row>
    <row r="25" spans="2:4" ht="15">
      <c r="B25" s="277">
        <v>2.9</v>
      </c>
      <c r="C25" s="280">
        <f t="shared" si="1"/>
        <v>6700</v>
      </c>
      <c r="D25" s="197">
        <f t="shared" si="0"/>
        <v>19430</v>
      </c>
    </row>
    <row r="26" spans="2:4" ht="15">
      <c r="B26" s="277">
        <v>3</v>
      </c>
      <c r="C26" s="280">
        <f t="shared" si="1"/>
        <v>6700</v>
      </c>
      <c r="D26" s="197">
        <f t="shared" si="0"/>
        <v>20100</v>
      </c>
    </row>
  </sheetData>
  <sheetProtection/>
  <printOptions/>
  <pageMargins left="0.7" right="0.7" top="0.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view="pageBreakPreview" zoomScale="80" zoomScaleSheetLayoutView="80" workbookViewId="0" topLeftCell="A1">
      <selection activeCell="B20" sqref="B20"/>
    </sheetView>
  </sheetViews>
  <sheetFormatPr defaultColWidth="9.00390625" defaultRowHeight="12.75"/>
  <cols>
    <col min="1" max="1" width="33.625" style="0" customWidth="1"/>
    <col min="2" max="2" width="8.25390625" style="0" customWidth="1"/>
    <col min="3" max="3" width="12.75390625" style="0" customWidth="1"/>
    <col min="4" max="4" width="9.375" style="0" customWidth="1"/>
    <col min="5" max="5" width="10.75390625" style="0" customWidth="1"/>
    <col min="6" max="6" width="9.625" style="0" customWidth="1"/>
    <col min="7" max="7" width="9.75390625" style="0" customWidth="1"/>
    <col min="8" max="8" width="10.25390625" style="0" customWidth="1"/>
    <col min="9" max="10" width="9.875" style="0" customWidth="1"/>
    <col min="11" max="11" width="12.25390625" style="0" customWidth="1"/>
    <col min="12" max="12" width="7.875" style="0" customWidth="1"/>
    <col min="13" max="13" width="11.875" style="0" customWidth="1"/>
    <col min="14" max="14" width="13.875" style="0" customWidth="1"/>
    <col min="15" max="15" width="12.25390625" style="0" customWidth="1"/>
    <col min="16" max="16" width="11.875" style="0" customWidth="1"/>
    <col min="17" max="17" width="7.875" style="0" customWidth="1"/>
    <col min="18" max="18" width="10.625" style="0" customWidth="1"/>
    <col min="19" max="19" width="8.25390625" style="0" customWidth="1"/>
    <col min="20" max="20" width="14.625" style="0" customWidth="1"/>
  </cols>
  <sheetData>
    <row r="1" spans="1:20" ht="31.5" customHeight="1">
      <c r="A1" s="124"/>
      <c r="B1" s="124"/>
      <c r="C1" s="124"/>
      <c r="D1" s="123"/>
      <c r="E1" s="143"/>
      <c r="F1" s="124"/>
      <c r="G1" s="136" t="s">
        <v>138</v>
      </c>
      <c r="H1" s="136"/>
      <c r="I1" s="136" t="s">
        <v>249</v>
      </c>
      <c r="J1" s="136"/>
      <c r="K1" s="136"/>
      <c r="L1" s="136"/>
      <c r="M1" s="136"/>
      <c r="N1" s="136"/>
      <c r="O1" s="136"/>
      <c r="P1" s="124"/>
      <c r="Q1" s="124"/>
      <c r="R1" s="124"/>
      <c r="S1" s="124"/>
      <c r="T1" s="124"/>
    </row>
    <row r="2" spans="1:20" ht="15.75">
      <c r="A2" s="124"/>
      <c r="B2" s="124"/>
      <c r="C2" s="124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258" customHeight="1">
      <c r="A3" s="144" t="s">
        <v>139</v>
      </c>
      <c r="B3" s="145" t="s">
        <v>140</v>
      </c>
      <c r="C3" s="145" t="s">
        <v>141</v>
      </c>
      <c r="D3" s="145" t="s">
        <v>142</v>
      </c>
      <c r="E3" s="145" t="s">
        <v>143</v>
      </c>
      <c r="F3" s="145" t="s">
        <v>144</v>
      </c>
      <c r="G3" s="145" t="s">
        <v>145</v>
      </c>
      <c r="H3" s="145" t="s">
        <v>121</v>
      </c>
      <c r="I3" s="145" t="s">
        <v>146</v>
      </c>
      <c r="J3" s="145" t="s">
        <v>158</v>
      </c>
      <c r="K3" s="145" t="s">
        <v>80</v>
      </c>
      <c r="L3" s="145" t="s">
        <v>147</v>
      </c>
      <c r="M3" s="145" t="s">
        <v>238</v>
      </c>
      <c r="N3" s="145" t="s">
        <v>148</v>
      </c>
      <c r="O3" s="144" t="s">
        <v>149</v>
      </c>
      <c r="P3" s="144" t="s">
        <v>150</v>
      </c>
      <c r="Q3" s="144" t="s">
        <v>151</v>
      </c>
      <c r="R3" s="145" t="s">
        <v>237</v>
      </c>
      <c r="S3" s="145" t="s">
        <v>152</v>
      </c>
      <c r="T3" s="144" t="s">
        <v>153</v>
      </c>
    </row>
    <row r="4" spans="1:20" ht="15.75">
      <c r="A4" s="248">
        <v>1</v>
      </c>
      <c r="B4" s="248">
        <v>2</v>
      </c>
      <c r="C4" s="146">
        <v>3</v>
      </c>
      <c r="D4" s="146">
        <v>4</v>
      </c>
      <c r="E4" s="146">
        <v>5</v>
      </c>
      <c r="F4" s="146">
        <v>6</v>
      </c>
      <c r="G4" s="146">
        <v>7</v>
      </c>
      <c r="H4" s="146">
        <v>8</v>
      </c>
      <c r="I4" s="146">
        <v>9</v>
      </c>
      <c r="J4" s="146">
        <v>10</v>
      </c>
      <c r="K4" s="146">
        <v>11</v>
      </c>
      <c r="L4" s="146">
        <v>12</v>
      </c>
      <c r="M4" s="146">
        <v>13</v>
      </c>
      <c r="N4" s="146">
        <v>14</v>
      </c>
      <c r="O4" s="146">
        <v>15</v>
      </c>
      <c r="P4" s="146">
        <v>16</v>
      </c>
      <c r="Q4" s="146">
        <v>17</v>
      </c>
      <c r="R4" s="146">
        <v>18</v>
      </c>
      <c r="S4" s="146">
        <v>19</v>
      </c>
      <c r="T4" s="146">
        <v>20</v>
      </c>
    </row>
    <row r="5" spans="1:20" s="500" customFormat="1" ht="33" customHeight="1">
      <c r="A5" s="507" t="s">
        <v>199</v>
      </c>
      <c r="B5" s="491">
        <f>'Адмін.'!C57</f>
        <v>19</v>
      </c>
      <c r="C5" s="477">
        <f>'Адмін.'!R57-Разом!F5-Разом!G5-Разом!H5-Разом!J5-Разом!K5-M5</f>
        <v>204863.07500000004</v>
      </c>
      <c r="D5" s="477">
        <v>0</v>
      </c>
      <c r="E5" s="477"/>
      <c r="F5" s="477">
        <f>'Адмін.'!G74</f>
        <v>0</v>
      </c>
      <c r="G5" s="477">
        <f>'Адмін.'!O74</f>
        <v>472.08</v>
      </c>
      <c r="H5" s="477">
        <f>'Адмін.'!M74</f>
        <v>0</v>
      </c>
      <c r="I5" s="477"/>
      <c r="J5" s="477">
        <f>'Адмін.'!P74</f>
        <v>289.3</v>
      </c>
      <c r="K5" s="477">
        <f>'Адмін.'!N74</f>
        <v>10997.1</v>
      </c>
      <c r="L5" s="477"/>
      <c r="M5" s="477">
        <f>'Адмін.'!Q74</f>
        <v>13487.175</v>
      </c>
      <c r="N5" s="477">
        <f aca="true" t="shared" si="0" ref="N5:N16">SUM(C5:M5)</f>
        <v>230108.73</v>
      </c>
      <c r="O5" s="477"/>
      <c r="P5" s="477"/>
      <c r="Q5" s="477"/>
      <c r="R5" s="477"/>
      <c r="S5" s="477"/>
      <c r="T5" s="477">
        <f aca="true" t="shared" si="1" ref="T5:T16">SUM(N5:S5)</f>
        <v>230108.73</v>
      </c>
    </row>
    <row r="6" spans="1:20" s="500" customFormat="1" ht="19.5" customHeight="1">
      <c r="A6" s="507" t="s">
        <v>162</v>
      </c>
      <c r="B6" s="491">
        <f>Тетіївська!C60</f>
        <v>41.5</v>
      </c>
      <c r="C6" s="477">
        <f>Тетіївська!R60-D6-G6-J6-K6-M6</f>
        <v>246333.85000000003</v>
      </c>
      <c r="D6" s="477">
        <f>Тетіївська!E6</f>
        <v>1050.1499999999999</v>
      </c>
      <c r="E6" s="477">
        <f>Тетіївська!L77</f>
        <v>0</v>
      </c>
      <c r="F6" s="477"/>
      <c r="G6" s="477">
        <f>Тетіївська!H81</f>
        <v>3003</v>
      </c>
      <c r="H6" s="477">
        <f>Тетіївська!M77</f>
        <v>0</v>
      </c>
      <c r="I6" s="477">
        <f>Тетіївська!I77</f>
        <v>0</v>
      </c>
      <c r="J6" s="477">
        <f>Тетіївська!P81</f>
        <v>1391.6000000000001</v>
      </c>
      <c r="K6" s="477">
        <f>Тетіївська!N81</f>
        <v>41529.869999999995</v>
      </c>
      <c r="L6" s="477"/>
      <c r="M6" s="477">
        <f>Тетіївська!Q81</f>
        <v>247842.43</v>
      </c>
      <c r="N6" s="477">
        <f t="shared" si="0"/>
        <v>541150.9</v>
      </c>
      <c r="O6" s="477">
        <f>10500</f>
        <v>10500</v>
      </c>
      <c r="P6" s="477">
        <f>6500</f>
        <v>6500</v>
      </c>
      <c r="Q6" s="477"/>
      <c r="R6" s="477"/>
      <c r="S6" s="477"/>
      <c r="T6" s="477">
        <f>SUM(N6:S6)</f>
        <v>558150.9</v>
      </c>
    </row>
    <row r="7" spans="1:20" s="500" customFormat="1" ht="19.5" customHeight="1">
      <c r="A7" s="282" t="s">
        <v>168</v>
      </c>
      <c r="B7" s="491">
        <f>Галайківська!C13</f>
        <v>2.5</v>
      </c>
      <c r="C7" s="477">
        <f>Галайківська!R13-J7-K7-M7</f>
        <v>14125.849999999999</v>
      </c>
      <c r="D7" s="477">
        <f>Галайківська!E18</f>
        <v>0</v>
      </c>
      <c r="E7" s="477">
        <f>Галайківська!L18</f>
        <v>0</v>
      </c>
      <c r="F7" s="477"/>
      <c r="G7" s="477"/>
      <c r="H7" s="477">
        <f>Галайківська!M18</f>
        <v>0</v>
      </c>
      <c r="I7" s="477"/>
      <c r="J7" s="477">
        <f>Галайківська!P27</f>
        <v>170.70000000000002</v>
      </c>
      <c r="K7" s="477">
        <f>Галайківська!N27</f>
        <v>2386.95</v>
      </c>
      <c r="L7" s="477"/>
      <c r="M7" s="477">
        <f>Галайківська!Q27</f>
        <v>7707.2</v>
      </c>
      <c r="N7" s="477">
        <f t="shared" si="0"/>
        <v>24390.7</v>
      </c>
      <c r="O7" s="477"/>
      <c r="P7" s="478"/>
      <c r="Q7" s="477"/>
      <c r="R7" s="477"/>
      <c r="S7" s="477"/>
      <c r="T7" s="477">
        <f t="shared" si="1"/>
        <v>24390.7</v>
      </c>
    </row>
    <row r="8" spans="1:20" s="500" customFormat="1" ht="19.5" customHeight="1">
      <c r="A8" s="507" t="s">
        <v>166</v>
      </c>
      <c r="B8" s="491">
        <f>Голодьківська!C13</f>
        <v>2</v>
      </c>
      <c r="C8" s="477">
        <f>Голодьківська!R13-J8-K8-M8</f>
        <v>10840.949999999999</v>
      </c>
      <c r="D8" s="477">
        <f>Голодьківська!E28</f>
        <v>0</v>
      </c>
      <c r="E8" s="477">
        <f>Голодьківська!L28</f>
        <v>0</v>
      </c>
      <c r="F8" s="477"/>
      <c r="G8" s="477"/>
      <c r="H8" s="477">
        <f>Голодьківська!M28</f>
        <v>0</v>
      </c>
      <c r="I8" s="477"/>
      <c r="J8" s="477">
        <f>Голодьківська!P26</f>
        <v>170.70000000000002</v>
      </c>
      <c r="K8" s="477">
        <f>Голодьківська!N26</f>
        <v>1430.65</v>
      </c>
      <c r="L8" s="477"/>
      <c r="M8" s="477">
        <f>Голодьківська!Q26</f>
        <v>8598.4</v>
      </c>
      <c r="N8" s="477">
        <f t="shared" si="0"/>
        <v>21040.699999999997</v>
      </c>
      <c r="O8" s="477"/>
      <c r="P8" s="478"/>
      <c r="Q8" s="477"/>
      <c r="R8" s="477"/>
      <c r="S8" s="477"/>
      <c r="T8" s="477">
        <f t="shared" si="1"/>
        <v>21040.699999999997</v>
      </c>
    </row>
    <row r="9" spans="1:20" s="500" customFormat="1" ht="19.5" customHeight="1">
      <c r="A9" s="507" t="s">
        <v>167</v>
      </c>
      <c r="B9" s="491">
        <f>Горошківська!C13</f>
        <v>3</v>
      </c>
      <c r="C9" s="477">
        <f>Горошківська!R13-J9-K9-M9</f>
        <v>19106.649999999998</v>
      </c>
      <c r="D9" s="477">
        <f>Горошківська!E28</f>
        <v>0</v>
      </c>
      <c r="E9" s="477">
        <f>Горошківська!L28</f>
        <v>0</v>
      </c>
      <c r="F9" s="477"/>
      <c r="G9" s="477"/>
      <c r="H9" s="477">
        <f>Горошківська!M28</f>
        <v>0</v>
      </c>
      <c r="I9" s="477"/>
      <c r="J9" s="477">
        <f>Горошківська!P26</f>
        <v>170.70000000000002</v>
      </c>
      <c r="K9" s="477">
        <f>Горошківська!N26</f>
        <v>4209.15</v>
      </c>
      <c r="L9" s="477"/>
      <c r="M9" s="477">
        <f>Горошківська!Q26</f>
        <v>17554.2</v>
      </c>
      <c r="N9" s="477">
        <f t="shared" si="0"/>
        <v>41040.7</v>
      </c>
      <c r="O9" s="477"/>
      <c r="P9" s="478"/>
      <c r="Q9" s="477"/>
      <c r="R9" s="477"/>
      <c r="S9" s="477"/>
      <c r="T9" s="477">
        <f t="shared" si="1"/>
        <v>41040.7</v>
      </c>
    </row>
    <row r="10" spans="1:20" s="500" customFormat="1" ht="18" customHeight="1">
      <c r="A10" s="507" t="s">
        <v>163</v>
      </c>
      <c r="B10" s="491">
        <f>Денихівська!C21</f>
        <v>8.5</v>
      </c>
      <c r="C10" s="477">
        <f>Денихівська!R21-J10-K10-M10</f>
        <v>46351.90000000001</v>
      </c>
      <c r="D10" s="477">
        <f>Денихівська!E33</f>
        <v>0</v>
      </c>
      <c r="E10" s="477">
        <f>Денихівська!L33</f>
        <v>0</v>
      </c>
      <c r="F10" s="477"/>
      <c r="G10" s="477"/>
      <c r="H10" s="477">
        <f>Денихівська!M33</f>
        <v>0</v>
      </c>
      <c r="I10" s="477"/>
      <c r="J10" s="477">
        <f>Денихівська!P34</f>
        <v>341.40000000000003</v>
      </c>
      <c r="K10" s="477">
        <f>Денихівська!N34</f>
        <v>17357.4</v>
      </c>
      <c r="L10" s="477"/>
      <c r="M10" s="477">
        <f>Денихівська!Q34</f>
        <v>61010.7</v>
      </c>
      <c r="N10" s="477">
        <f t="shared" si="0"/>
        <v>125061.40000000001</v>
      </c>
      <c r="O10" s="477"/>
      <c r="P10" s="478"/>
      <c r="Q10" s="477"/>
      <c r="R10" s="477"/>
      <c r="S10" s="477"/>
      <c r="T10" s="477">
        <f t="shared" si="1"/>
        <v>125061.40000000001</v>
      </c>
    </row>
    <row r="11" spans="1:20" s="500" customFormat="1" ht="22.5" customHeight="1">
      <c r="A11" s="508" t="s">
        <v>165</v>
      </c>
      <c r="B11" s="491">
        <f>Кашперівська!C15</f>
        <v>8.5</v>
      </c>
      <c r="C11" s="477">
        <f>Кашперівська!R15-J11-K11-M11</f>
        <v>53306.600000000006</v>
      </c>
      <c r="D11" s="477">
        <f>Кашперівська!E27</f>
        <v>0</v>
      </c>
      <c r="E11" s="477">
        <f>Кашперівська!L27</f>
        <v>0</v>
      </c>
      <c r="F11" s="477"/>
      <c r="G11" s="477"/>
      <c r="H11" s="477">
        <f>Кашперівська!M27</f>
        <v>0</v>
      </c>
      <c r="I11" s="477"/>
      <c r="J11" s="477">
        <f>Кашперівська!P29</f>
        <v>341.40000000000003</v>
      </c>
      <c r="K11" s="477">
        <f>Кашперівська!N29</f>
        <v>10258.2</v>
      </c>
      <c r="L11" s="477"/>
      <c r="M11" s="477">
        <f>Кашперівська!Q29</f>
        <v>54355.2</v>
      </c>
      <c r="N11" s="477">
        <f t="shared" si="0"/>
        <v>118261.40000000001</v>
      </c>
      <c r="O11" s="477"/>
      <c r="P11" s="478"/>
      <c r="Q11" s="477"/>
      <c r="R11" s="477"/>
      <c r="S11" s="477"/>
      <c r="T11" s="477">
        <f>SUM(N11:S11)</f>
        <v>118261.40000000001</v>
      </c>
    </row>
    <row r="12" spans="1:20" s="500" customFormat="1" ht="22.5" customHeight="1">
      <c r="A12" s="507" t="s">
        <v>164</v>
      </c>
      <c r="B12" s="491">
        <f>'П''ятигірська'!C15</f>
        <v>8.5</v>
      </c>
      <c r="C12" s="477">
        <f>'П''ятигірська'!R15-Разом!D12-Разом!E12-Разом!J12-Разом!K12-M12</f>
        <v>52109.149999999994</v>
      </c>
      <c r="D12" s="477">
        <f>'П''ятигірська'!E27</f>
        <v>0</v>
      </c>
      <c r="E12" s="477">
        <f>'П''ятигірська'!L27</f>
        <v>0</v>
      </c>
      <c r="F12" s="477"/>
      <c r="G12" s="477"/>
      <c r="H12" s="477"/>
      <c r="I12" s="477"/>
      <c r="J12" s="477">
        <f>'П''ятигірська'!P27</f>
        <v>341.40000000000003</v>
      </c>
      <c r="K12" s="477">
        <f>'П''ятигірська'!N27</f>
        <v>13148.25</v>
      </c>
      <c r="L12" s="477"/>
      <c r="M12" s="477">
        <f>'П''ятигірська'!Q27</f>
        <v>52662.600000000006</v>
      </c>
      <c r="N12" s="477">
        <f t="shared" si="0"/>
        <v>118261.4</v>
      </c>
      <c r="O12" s="477"/>
      <c r="P12" s="478"/>
      <c r="Q12" s="477"/>
      <c r="R12" s="477"/>
      <c r="S12" s="477"/>
      <c r="T12" s="477">
        <f t="shared" si="1"/>
        <v>118261.4</v>
      </c>
    </row>
    <row r="13" spans="1:20" s="500" customFormat="1" ht="21.75" customHeight="1">
      <c r="A13" s="282" t="s">
        <v>169</v>
      </c>
      <c r="B13" s="491">
        <f>Теліженецька!C13</f>
        <v>2.5</v>
      </c>
      <c r="C13" s="477">
        <f>Теліженецька!R13-J13-K13-M13</f>
        <v>14999.95</v>
      </c>
      <c r="D13" s="477">
        <f>Теліженецька!E24</f>
        <v>0</v>
      </c>
      <c r="E13" s="477">
        <f>Теліженецька!L24</f>
        <v>0</v>
      </c>
      <c r="F13" s="477"/>
      <c r="G13" s="477"/>
      <c r="H13" s="477">
        <f>Теліженецька!M24</f>
        <v>0</v>
      </c>
      <c r="I13" s="477"/>
      <c r="J13" s="477">
        <f>Теліженецька!P28</f>
        <v>341.40000000000003</v>
      </c>
      <c r="K13" s="477">
        <f>Теліженецька!N28</f>
        <v>2564.55</v>
      </c>
      <c r="L13" s="477"/>
      <c r="M13" s="477">
        <f>Теліженецька!Q28</f>
        <v>6655.5</v>
      </c>
      <c r="N13" s="477">
        <f t="shared" si="0"/>
        <v>24561.4</v>
      </c>
      <c r="O13" s="477"/>
      <c r="P13" s="478"/>
      <c r="Q13" s="477"/>
      <c r="R13" s="477"/>
      <c r="S13" s="477"/>
      <c r="T13" s="477">
        <f t="shared" si="1"/>
        <v>24561.4</v>
      </c>
    </row>
    <row r="14" spans="1:20" s="500" customFormat="1" ht="21.75" customHeight="1" hidden="1">
      <c r="A14" s="501" t="s">
        <v>216</v>
      </c>
      <c r="B14" s="482" t="e">
        <f>#REF!</f>
        <v>#REF!</v>
      </c>
      <c r="C14" s="276" t="e">
        <f>#REF!-D14-J14-K14</f>
        <v>#REF!</v>
      </c>
      <c r="D14" s="477" t="e">
        <f>#REF!</f>
        <v>#REF!</v>
      </c>
      <c r="E14" s="477"/>
      <c r="F14" s="477"/>
      <c r="G14" s="477"/>
      <c r="H14" s="477"/>
      <c r="I14" s="477"/>
      <c r="J14" s="276" t="e">
        <f>#REF!</f>
        <v>#REF!</v>
      </c>
      <c r="K14" s="276" t="e">
        <f>#REF!</f>
        <v>#REF!</v>
      </c>
      <c r="L14" s="477"/>
      <c r="M14" s="477"/>
      <c r="N14" s="276" t="e">
        <f t="shared" si="0"/>
        <v>#REF!</v>
      </c>
      <c r="O14" s="477"/>
      <c r="P14" s="478"/>
      <c r="Q14" s="477"/>
      <c r="R14" s="477"/>
      <c r="S14" s="477"/>
      <c r="T14" s="276" t="e">
        <f t="shared" si="1"/>
        <v>#REF!</v>
      </c>
    </row>
    <row r="15" spans="1:20" s="500" customFormat="1" ht="22.5" customHeight="1" hidden="1">
      <c r="A15" s="501" t="s">
        <v>169</v>
      </c>
      <c r="B15" s="483">
        <f>Теліженецька!C11</f>
        <v>0.5</v>
      </c>
      <c r="C15" s="276">
        <f>Теліженецька!R11-Разом!D15-Разом!E15-Разом!H15-Разом!J15-Разом!K15</f>
        <v>4020</v>
      </c>
      <c r="D15" s="477">
        <f>Теліженецька!E26</f>
        <v>0</v>
      </c>
      <c r="E15" s="477">
        <f>Теліженецька!L26</f>
        <v>0</v>
      </c>
      <c r="F15" s="477"/>
      <c r="G15" s="477"/>
      <c r="H15" s="477">
        <f>Теліженецька!M26</f>
        <v>0</v>
      </c>
      <c r="I15" s="477"/>
      <c r="J15" s="276">
        <f>Теліженецька!P26</f>
        <v>0</v>
      </c>
      <c r="K15" s="276">
        <f>Теліженецька!N26</f>
        <v>0</v>
      </c>
      <c r="L15" s="477"/>
      <c r="M15" s="477"/>
      <c r="N15" s="276">
        <f t="shared" si="0"/>
        <v>4020</v>
      </c>
      <c r="O15" s="477"/>
      <c r="P15" s="478"/>
      <c r="Q15" s="477"/>
      <c r="R15" s="477"/>
      <c r="S15" s="477"/>
      <c r="T15" s="276">
        <f t="shared" si="1"/>
        <v>4020</v>
      </c>
    </row>
    <row r="16" spans="1:20" s="122" customFormat="1" ht="21" customHeight="1">
      <c r="A16" s="282" t="s">
        <v>247</v>
      </c>
      <c r="B16" s="491">
        <f>ФП!C132</f>
        <v>30.5</v>
      </c>
      <c r="C16" s="477">
        <f>ФП!R132-J16-K16-M16</f>
        <v>168455.99999999997</v>
      </c>
      <c r="D16" s="477">
        <f>ФП!E142</f>
        <v>0</v>
      </c>
      <c r="E16" s="477"/>
      <c r="F16" s="477"/>
      <c r="G16" s="477"/>
      <c r="H16" s="477"/>
      <c r="I16" s="477"/>
      <c r="J16" s="477">
        <f>ФП!P142</f>
        <v>0</v>
      </c>
      <c r="K16" s="477">
        <f>ФП!N142</f>
        <v>18714.899999999998</v>
      </c>
      <c r="L16" s="477"/>
      <c r="M16" s="477">
        <f>ФП!Q142</f>
        <v>153179.1</v>
      </c>
      <c r="N16" s="477">
        <f t="shared" si="0"/>
        <v>340350</v>
      </c>
      <c r="O16" s="477"/>
      <c r="P16" s="478"/>
      <c r="Q16" s="477"/>
      <c r="R16" s="477"/>
      <c r="S16" s="477"/>
      <c r="T16" s="477">
        <f t="shared" si="1"/>
        <v>340350</v>
      </c>
    </row>
    <row r="17" spans="1:20" s="122" customFormat="1" ht="22.5" customHeight="1">
      <c r="A17" s="282"/>
      <c r="B17" s="491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8"/>
      <c r="Q17" s="477"/>
      <c r="R17" s="477"/>
      <c r="S17" s="477"/>
      <c r="T17" s="477"/>
    </row>
    <row r="18" spans="1:20" s="122" customFormat="1" ht="21" customHeight="1">
      <c r="A18" s="282"/>
      <c r="B18" s="492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8"/>
      <c r="Q18" s="477"/>
      <c r="R18" s="477"/>
      <c r="S18" s="477"/>
      <c r="T18" s="477"/>
    </row>
    <row r="19" spans="1:20" s="265" customFormat="1" ht="21" customHeight="1">
      <c r="A19" s="287"/>
      <c r="B19" s="493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</row>
    <row r="20" spans="1:20" s="500" customFormat="1" ht="24.75" customHeight="1">
      <c r="A20" s="513" t="s">
        <v>120</v>
      </c>
      <c r="B20" s="493">
        <f>B5+B6+B7+B8+B9+B10+B11+B12+B13+B16</f>
        <v>126.5</v>
      </c>
      <c r="C20" s="509">
        <f>C5+C6+C7+C8+C9+C10+C11+C12+C13+C16</f>
        <v>830493.975</v>
      </c>
      <c r="D20" s="509">
        <f>D5+D6+D7+D8+D9+D10+D11+D12+D13+D16</f>
        <v>1050.1499999999999</v>
      </c>
      <c r="E20" s="509">
        <f aca="true" t="shared" si="2" ref="E20:S20">SUM(E5:E16)</f>
        <v>0</v>
      </c>
      <c r="F20" s="509">
        <f t="shared" si="2"/>
        <v>0</v>
      </c>
      <c r="G20" s="509">
        <f>SUM(G5:G16)</f>
        <v>3475.08</v>
      </c>
      <c r="H20" s="509">
        <f t="shared" si="2"/>
        <v>0</v>
      </c>
      <c r="I20" s="509">
        <f t="shared" si="2"/>
        <v>0</v>
      </c>
      <c r="J20" s="509">
        <f>J5+J6+J7+J8+J9+J10+J11+J12+J13+J16</f>
        <v>3558.6000000000004</v>
      </c>
      <c r="K20" s="509">
        <f>K5+K6+K7+K8+K9+K10+K12+K13+K16</f>
        <v>112338.81999999999</v>
      </c>
      <c r="L20" s="509"/>
      <c r="M20" s="509">
        <f>SUM(M5:M16)</f>
        <v>623052.505</v>
      </c>
      <c r="N20" s="509">
        <f>N5+N6+N7+N8+N9+N10+N11+N12+N13+N16</f>
        <v>1584227.3299999996</v>
      </c>
      <c r="O20" s="509">
        <f t="shared" si="2"/>
        <v>10500</v>
      </c>
      <c r="P20" s="509">
        <f t="shared" si="2"/>
        <v>6500</v>
      </c>
      <c r="Q20" s="509">
        <f t="shared" si="2"/>
        <v>0</v>
      </c>
      <c r="R20" s="509">
        <f t="shared" si="2"/>
        <v>0</v>
      </c>
      <c r="S20" s="509">
        <f t="shared" si="2"/>
        <v>0</v>
      </c>
      <c r="T20" s="509">
        <f>T5+T6+T7+T8+T9+T10+T11+T12+T13+T16</f>
        <v>1601227.3299999996</v>
      </c>
    </row>
    <row r="21" spans="1:20" ht="12.75">
      <c r="A21" s="117"/>
      <c r="B21" s="117"/>
      <c r="C21" s="117"/>
      <c r="D21" s="118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ht="12.75">
      <c r="A22" s="117"/>
      <c r="B22" s="117"/>
      <c r="C22" s="117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ht="12.75">
      <c r="A23" s="117"/>
      <c r="B23" s="117"/>
      <c r="C23" s="117"/>
      <c r="D23" s="118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15.75">
      <c r="A24" s="117"/>
      <c r="B24" s="117"/>
      <c r="C24" s="117"/>
      <c r="D24" s="123"/>
      <c r="F24" s="124" t="s">
        <v>14</v>
      </c>
      <c r="G24" s="124"/>
      <c r="H24" s="124"/>
      <c r="I24" s="124"/>
      <c r="K24" s="124" t="s">
        <v>226</v>
      </c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15.75">
      <c r="A25" s="117"/>
      <c r="B25" s="117"/>
      <c r="C25" s="117"/>
      <c r="D25" s="123"/>
      <c r="E25" s="124"/>
      <c r="F25" s="124"/>
      <c r="G25" s="124"/>
      <c r="H25" s="124"/>
      <c r="I25" s="124"/>
      <c r="J25" s="124"/>
      <c r="K25" s="124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ht="12.75">
      <c r="A26" s="117"/>
      <c r="B26" s="117"/>
      <c r="C26" s="117"/>
      <c r="D26" s="11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</sheetData>
  <sheetProtection/>
  <printOptions/>
  <pageMargins left="0.41" right="0.4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X30"/>
  <sheetViews>
    <sheetView tabSelected="1" view="pageBreakPreview" zoomScale="70" zoomScaleNormal="75" zoomScaleSheetLayoutView="70" zoomScalePageLayoutView="0" workbookViewId="0" topLeftCell="A1">
      <selection activeCell="P6" sqref="P6"/>
    </sheetView>
  </sheetViews>
  <sheetFormatPr defaultColWidth="9.00390625" defaultRowHeight="12.75"/>
  <cols>
    <col min="1" max="1" width="5.125" style="0" customWidth="1"/>
    <col min="2" max="2" width="55.875" style="0" customWidth="1"/>
    <col min="3" max="3" width="17.75390625" style="0" customWidth="1"/>
    <col min="4" max="4" width="10.125" style="0" customWidth="1"/>
    <col min="5" max="5" width="9.625" style="0" customWidth="1"/>
    <col min="6" max="6" width="7.375" style="0" customWidth="1"/>
    <col min="7" max="7" width="7.00390625" style="0" customWidth="1"/>
    <col min="8" max="8" width="10.625" style="0" customWidth="1"/>
    <col min="9" max="9" width="9.75390625" style="0" customWidth="1"/>
    <col min="10" max="10" width="10.375" style="0" customWidth="1"/>
    <col min="11" max="12" width="9.25390625" style="0" customWidth="1"/>
    <col min="13" max="13" width="9.625" style="0" bestFit="1" customWidth="1"/>
    <col min="14" max="14" width="11.125" style="0" bestFit="1" customWidth="1"/>
    <col min="15" max="15" width="10.25390625" style="0" customWidth="1"/>
    <col min="16" max="16" width="9.25390625" style="0" customWidth="1"/>
    <col min="17" max="17" width="9.875" style="0" customWidth="1"/>
    <col min="18" max="18" width="9.625" style="0" customWidth="1"/>
    <col min="19" max="19" width="13.625" style="0" customWidth="1"/>
  </cols>
  <sheetData>
    <row r="1" spans="1:19" ht="14.25" customHeight="1">
      <c r="A1" s="522"/>
      <c r="B1" s="550"/>
      <c r="C1" s="550"/>
      <c r="D1" s="550"/>
      <c r="E1" s="245"/>
      <c r="F1" s="245"/>
      <c r="G1" s="245"/>
      <c r="H1" s="522"/>
      <c r="I1" s="523"/>
      <c r="L1" s="550"/>
      <c r="M1" s="550"/>
      <c r="N1" s="550"/>
      <c r="O1" s="550"/>
      <c r="P1" s="550"/>
      <c r="Q1" s="550"/>
      <c r="R1" s="180"/>
      <c r="S1" s="180"/>
    </row>
    <row r="2" spans="1:19" ht="21.75" customHeight="1">
      <c r="A2" s="522"/>
      <c r="B2" s="486"/>
      <c r="C2" s="486"/>
      <c r="D2" s="486"/>
      <c r="E2" s="486"/>
      <c r="F2" s="486"/>
      <c r="G2" s="486"/>
      <c r="H2" s="522"/>
      <c r="I2" s="523"/>
      <c r="L2" s="486"/>
      <c r="M2" s="486"/>
      <c r="N2" s="486" t="s">
        <v>274</v>
      </c>
      <c r="O2" s="486"/>
      <c r="P2" s="486"/>
      <c r="Q2" s="486"/>
      <c r="R2" s="180"/>
      <c r="S2" s="180"/>
    </row>
    <row r="3" spans="1:19" ht="14.25" customHeight="1">
      <c r="A3" s="26"/>
      <c r="B3" s="180"/>
      <c r="C3" s="180"/>
      <c r="D3" s="180"/>
      <c r="E3" s="180"/>
      <c r="F3" s="180"/>
      <c r="G3" s="180"/>
      <c r="H3" s="26"/>
      <c r="L3" s="486"/>
      <c r="M3" s="486"/>
      <c r="N3" s="486" t="s">
        <v>275</v>
      </c>
      <c r="O3" s="486"/>
      <c r="P3" s="486"/>
      <c r="Q3" s="486"/>
      <c r="R3" s="180"/>
      <c r="S3" s="180"/>
    </row>
    <row r="4" spans="1:19" ht="18.75">
      <c r="A4" s="26"/>
      <c r="B4" s="180"/>
      <c r="C4" s="180"/>
      <c r="D4" s="180"/>
      <c r="E4" s="180"/>
      <c r="F4" s="180"/>
      <c r="G4" s="180"/>
      <c r="L4" s="548"/>
      <c r="M4" s="548"/>
      <c r="N4" s="548" t="s">
        <v>276</v>
      </c>
      <c r="O4" s="548"/>
      <c r="P4" s="548"/>
      <c r="Q4" s="548"/>
      <c r="R4" s="180"/>
      <c r="S4" s="180"/>
    </row>
    <row r="5" spans="1:19" ht="16.5" customHeight="1">
      <c r="A5" s="28"/>
      <c r="H5" s="559" t="s">
        <v>72</v>
      </c>
      <c r="I5" s="559"/>
      <c r="J5" s="559"/>
      <c r="L5" s="560"/>
      <c r="M5" s="560"/>
      <c r="N5" s="560"/>
      <c r="O5" s="560"/>
      <c r="P5" s="560"/>
      <c r="Q5" s="560"/>
      <c r="R5" s="181"/>
      <c r="S5" s="180"/>
    </row>
    <row r="6" spans="8:10" ht="24.75" customHeight="1">
      <c r="H6" s="559" t="s">
        <v>75</v>
      </c>
      <c r="I6" s="559"/>
      <c r="J6" s="559"/>
    </row>
    <row r="7" spans="3:14" ht="29.25" customHeight="1" thickBot="1">
      <c r="C7" s="561" t="s">
        <v>251</v>
      </c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</row>
    <row r="8" spans="1:19" s="18" customFormat="1" ht="57.75" customHeight="1" thickBot="1">
      <c r="A8" s="551" t="s">
        <v>51</v>
      </c>
      <c r="B8" s="554" t="s">
        <v>52</v>
      </c>
      <c r="C8" s="554" t="s">
        <v>53</v>
      </c>
      <c r="D8" s="554" t="s">
        <v>54</v>
      </c>
      <c r="E8" s="554" t="s">
        <v>55</v>
      </c>
      <c r="F8" s="557" t="s">
        <v>56</v>
      </c>
      <c r="G8" s="558"/>
      <c r="H8" s="178" t="s">
        <v>57</v>
      </c>
      <c r="I8" s="557" t="s">
        <v>58</v>
      </c>
      <c r="J8" s="558"/>
      <c r="K8" s="557" t="s">
        <v>59</v>
      </c>
      <c r="L8" s="570"/>
      <c r="M8" s="570"/>
      <c r="N8" s="570"/>
      <c r="O8" s="570"/>
      <c r="P8" s="570"/>
      <c r="Q8" s="570"/>
      <c r="R8" s="558"/>
      <c r="S8" s="554" t="s">
        <v>176</v>
      </c>
    </row>
    <row r="9" spans="1:19" s="18" customFormat="1" ht="19.5" customHeight="1" thickBot="1">
      <c r="A9" s="552"/>
      <c r="B9" s="555"/>
      <c r="C9" s="555"/>
      <c r="D9" s="555"/>
      <c r="E9" s="555"/>
      <c r="F9" s="554" t="s">
        <v>60</v>
      </c>
      <c r="G9" s="554" t="s">
        <v>61</v>
      </c>
      <c r="H9" s="179" t="s">
        <v>253</v>
      </c>
      <c r="I9" s="554" t="s">
        <v>62</v>
      </c>
      <c r="J9" s="554" t="s">
        <v>63</v>
      </c>
      <c r="K9" s="557" t="s">
        <v>25</v>
      </c>
      <c r="L9" s="558"/>
      <c r="M9" s="557" t="s">
        <v>175</v>
      </c>
      <c r="N9" s="558"/>
      <c r="O9" s="557" t="s">
        <v>26</v>
      </c>
      <c r="P9" s="558"/>
      <c r="Q9" s="557" t="s">
        <v>27</v>
      </c>
      <c r="R9" s="558"/>
      <c r="S9" s="555"/>
    </row>
    <row r="10" spans="1:19" s="18" customFormat="1" ht="38.25" thickBot="1">
      <c r="A10" s="553"/>
      <c r="B10" s="556"/>
      <c r="C10" s="556"/>
      <c r="D10" s="556"/>
      <c r="E10" s="556"/>
      <c r="F10" s="556"/>
      <c r="G10" s="556"/>
      <c r="H10" s="142" t="s">
        <v>252</v>
      </c>
      <c r="I10" s="556"/>
      <c r="J10" s="556"/>
      <c r="K10" s="142" t="s">
        <v>65</v>
      </c>
      <c r="L10" s="142" t="s">
        <v>63</v>
      </c>
      <c r="M10" s="142" t="s">
        <v>65</v>
      </c>
      <c r="N10" s="142" t="s">
        <v>63</v>
      </c>
      <c r="O10" s="142" t="s">
        <v>65</v>
      </c>
      <c r="P10" s="142" t="s">
        <v>63</v>
      </c>
      <c r="Q10" s="142" t="s">
        <v>65</v>
      </c>
      <c r="R10" s="142" t="s">
        <v>63</v>
      </c>
      <c r="S10" s="556"/>
    </row>
    <row r="11" spans="1:19" s="264" customFormat="1" ht="24" customHeight="1" hidden="1" thickBot="1">
      <c r="A11" s="263">
        <v>1</v>
      </c>
      <c r="B11" s="562" t="s">
        <v>195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4"/>
    </row>
    <row r="12" spans="1:19" s="502" customFormat="1" ht="75.75" customHeight="1" thickBot="1">
      <c r="A12" s="238">
        <v>1</v>
      </c>
      <c r="B12" s="239" t="s">
        <v>197</v>
      </c>
      <c r="C12" s="240" t="s">
        <v>116</v>
      </c>
      <c r="D12" s="240"/>
      <c r="E12" s="241"/>
      <c r="F12" s="240"/>
      <c r="G12" s="240"/>
      <c r="H12" s="240"/>
      <c r="I12" s="207">
        <f aca="true" t="shared" si="0" ref="I12:J16">K12+M12+O12+Q12</f>
        <v>19</v>
      </c>
      <c r="J12" s="207">
        <f t="shared" si="0"/>
        <v>230.10873</v>
      </c>
      <c r="K12" s="166">
        <f>'Адмін.'!C58</f>
        <v>1.75</v>
      </c>
      <c r="L12" s="207">
        <f>'Адмін.'!R58/1000</f>
        <v>38.517</v>
      </c>
      <c r="M12" s="207">
        <f>'Адмін.'!C59</f>
        <v>2</v>
      </c>
      <c r="N12" s="207">
        <f>'Адмін.'!R59/1000</f>
        <v>27</v>
      </c>
      <c r="O12" s="166"/>
      <c r="P12" s="166"/>
      <c r="Q12" s="166">
        <f>'Адмін.'!C60</f>
        <v>15.25</v>
      </c>
      <c r="R12" s="207">
        <f>'Адмін.'!R60/1000</f>
        <v>164.59173</v>
      </c>
      <c r="S12" s="166">
        <v>6.25</v>
      </c>
    </row>
    <row r="13" spans="1:19" s="502" customFormat="1" ht="26.25" customHeight="1" thickBot="1">
      <c r="A13" s="238">
        <v>2</v>
      </c>
      <c r="B13" s="239" t="s">
        <v>115</v>
      </c>
      <c r="C13" s="240" t="s">
        <v>116</v>
      </c>
      <c r="D13" s="240"/>
      <c r="E13" s="241">
        <v>30</v>
      </c>
      <c r="F13" s="240">
        <v>100</v>
      </c>
      <c r="G13" s="240"/>
      <c r="H13" s="281">
        <f>(10960/40)*30</f>
        <v>8220</v>
      </c>
      <c r="I13" s="207">
        <f>K13+M13+O13+Q13</f>
        <v>41.5</v>
      </c>
      <c r="J13" s="207">
        <f>L13+N13+P13+R13</f>
        <v>541.1509</v>
      </c>
      <c r="K13" s="207">
        <f>Тетіївська!C61</f>
        <v>11.5</v>
      </c>
      <c r="L13" s="207">
        <f>Тетіївська!R61/1000</f>
        <v>185.795</v>
      </c>
      <c r="M13" s="166">
        <f>Тетіївська!C62</f>
        <v>20.75</v>
      </c>
      <c r="N13" s="207">
        <f>Тетіївська!R62/1000</f>
        <v>283.128</v>
      </c>
      <c r="O13" s="207">
        <f>Тетіївська!C63</f>
        <v>3</v>
      </c>
      <c r="P13" s="207">
        <f>Тетіївська!R63/1000</f>
        <v>21.1242</v>
      </c>
      <c r="Q13" s="166">
        <f>Тетіївська!C64</f>
        <v>6.25</v>
      </c>
      <c r="R13" s="207">
        <f>Тетіївська!R64/1000</f>
        <v>51.103699999999996</v>
      </c>
      <c r="S13" s="166"/>
    </row>
    <row r="14" spans="1:19" s="502" customFormat="1" ht="26.25" customHeight="1" thickBot="1">
      <c r="A14" s="238">
        <v>3</v>
      </c>
      <c r="B14" s="239" t="s">
        <v>112</v>
      </c>
      <c r="C14" s="240" t="s">
        <v>71</v>
      </c>
      <c r="D14" s="240"/>
      <c r="E14" s="241"/>
      <c r="F14" s="240"/>
      <c r="G14" s="240">
        <v>50</v>
      </c>
      <c r="H14" s="281"/>
      <c r="I14" s="207">
        <f t="shared" si="0"/>
        <v>2</v>
      </c>
      <c r="J14" s="207">
        <f t="shared" si="0"/>
        <v>21.040699999999998</v>
      </c>
      <c r="K14" s="207">
        <f>Голодьківська!C14</f>
        <v>0</v>
      </c>
      <c r="L14" s="207">
        <f>Голодьківська!R14/1000</f>
        <v>0</v>
      </c>
      <c r="M14" s="207">
        <f>Голодьківська!C15</f>
        <v>1</v>
      </c>
      <c r="N14" s="207">
        <f>Голодьківська!R15/1000</f>
        <v>13.5</v>
      </c>
      <c r="O14" s="207">
        <f>Голодьківська!C16</f>
        <v>0.5</v>
      </c>
      <c r="P14" s="207">
        <f>Голодьківська!R16/1000</f>
        <v>3.5206999999999997</v>
      </c>
      <c r="Q14" s="207">
        <f>Голодьківська!C17</f>
        <v>0.5</v>
      </c>
      <c r="R14" s="207">
        <f>Голодьківська!R17/1000</f>
        <v>4.02</v>
      </c>
      <c r="S14" s="166"/>
    </row>
    <row r="15" spans="1:19" s="502" customFormat="1" ht="26.25" customHeight="1" thickBot="1">
      <c r="A15" s="284">
        <v>4</v>
      </c>
      <c r="B15" s="239" t="s">
        <v>69</v>
      </c>
      <c r="C15" s="240" t="s">
        <v>70</v>
      </c>
      <c r="D15" s="240"/>
      <c r="E15" s="241"/>
      <c r="F15" s="240"/>
      <c r="G15" s="240">
        <v>50</v>
      </c>
      <c r="H15" s="281"/>
      <c r="I15" s="207">
        <f t="shared" si="0"/>
        <v>3</v>
      </c>
      <c r="J15" s="207">
        <f t="shared" si="0"/>
        <v>41.0407</v>
      </c>
      <c r="K15" s="207">
        <f>Горошківська!C14</f>
        <v>1</v>
      </c>
      <c r="L15" s="207">
        <f>Горошківська!R14/1000</f>
        <v>20</v>
      </c>
      <c r="M15" s="207">
        <f>Горошківська!C15</f>
        <v>1</v>
      </c>
      <c r="N15" s="207">
        <f>Горошківська!R15/1000</f>
        <v>13.5</v>
      </c>
      <c r="O15" s="207">
        <f>Горошківська!C16</f>
        <v>0.5</v>
      </c>
      <c r="P15" s="207">
        <f>Горошківська!R16/1000</f>
        <v>3.5206999999999997</v>
      </c>
      <c r="Q15" s="207">
        <f>Горошківська!C17</f>
        <v>0.5</v>
      </c>
      <c r="R15" s="207">
        <f>Горошківська!R17/1000</f>
        <v>4.02</v>
      </c>
      <c r="S15" s="166"/>
    </row>
    <row r="16" spans="1:19" s="502" customFormat="1" ht="27" customHeight="1" thickBot="1">
      <c r="A16" s="284">
        <v>5</v>
      </c>
      <c r="B16" s="239" t="s">
        <v>177</v>
      </c>
      <c r="C16" s="240" t="s">
        <v>113</v>
      </c>
      <c r="D16" s="240"/>
      <c r="E16" s="241"/>
      <c r="F16" s="240"/>
      <c r="G16" s="240">
        <v>50</v>
      </c>
      <c r="H16" s="281"/>
      <c r="I16" s="207">
        <f t="shared" si="0"/>
        <v>2.5</v>
      </c>
      <c r="J16" s="207">
        <f t="shared" si="0"/>
        <v>24.3907</v>
      </c>
      <c r="K16" s="207">
        <f>Галайківська!C14</f>
        <v>0</v>
      </c>
      <c r="L16" s="207">
        <f>Галайківська!R14/1000</f>
        <v>0</v>
      </c>
      <c r="M16" s="207">
        <f>Галайківська!C15</f>
        <v>1</v>
      </c>
      <c r="N16" s="207">
        <f>Галайківська!R15/1000</f>
        <v>13.5</v>
      </c>
      <c r="O16" s="207">
        <f>Галайківська!C16</f>
        <v>0.5</v>
      </c>
      <c r="P16" s="207">
        <f>Галайківська!R16/1000</f>
        <v>3.5206999999999997</v>
      </c>
      <c r="Q16" s="207">
        <f>Галайківська!C17</f>
        <v>1</v>
      </c>
      <c r="R16" s="207">
        <f>Галайківська!R17/1000</f>
        <v>7.37</v>
      </c>
      <c r="S16" s="207"/>
    </row>
    <row r="17" spans="1:19" s="502" customFormat="1" ht="28.5" customHeight="1" hidden="1" thickBot="1">
      <c r="A17" s="503">
        <v>2</v>
      </c>
      <c r="B17" s="565" t="s">
        <v>198</v>
      </c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7"/>
    </row>
    <row r="18" spans="1:19" s="502" customFormat="1" ht="27" customHeight="1" thickBot="1">
      <c r="A18" s="238">
        <v>6</v>
      </c>
      <c r="B18" s="239" t="s">
        <v>114</v>
      </c>
      <c r="C18" s="240" t="s">
        <v>66</v>
      </c>
      <c r="D18" s="240"/>
      <c r="E18" s="241">
        <v>20</v>
      </c>
      <c r="F18" s="240"/>
      <c r="G18" s="240">
        <v>50</v>
      </c>
      <c r="H18" s="281">
        <v>5480</v>
      </c>
      <c r="I18" s="207">
        <f>K18+M18+O18+Q18</f>
        <v>8.5</v>
      </c>
      <c r="J18" s="207">
        <f>L18+N18+P18+R18</f>
        <v>125.06139999999999</v>
      </c>
      <c r="K18" s="207">
        <f>Денихівська!C22</f>
        <v>3</v>
      </c>
      <c r="L18" s="207">
        <f>Денихівська!R22/1000</f>
        <v>60</v>
      </c>
      <c r="M18" s="207">
        <f>Денихівська!C23</f>
        <v>4</v>
      </c>
      <c r="N18" s="207">
        <f>Денихівська!R23/1000</f>
        <v>54</v>
      </c>
      <c r="O18" s="207">
        <f>Денихівська!C24</f>
        <v>1</v>
      </c>
      <c r="P18" s="207">
        <f>Денихівська!R24/1000</f>
        <v>7.041399999999999</v>
      </c>
      <c r="Q18" s="207">
        <f>Денихівська!C25</f>
        <v>0.5</v>
      </c>
      <c r="R18" s="207">
        <f>Денихівська!R25/1000</f>
        <v>4.02</v>
      </c>
      <c r="S18" s="166"/>
    </row>
    <row r="19" spans="1:24" s="502" customFormat="1" ht="27" customHeight="1" thickBot="1">
      <c r="A19" s="238">
        <v>7</v>
      </c>
      <c r="B19" s="239" t="s">
        <v>67</v>
      </c>
      <c r="C19" s="240" t="s">
        <v>68</v>
      </c>
      <c r="D19" s="240"/>
      <c r="E19" s="241">
        <v>5</v>
      </c>
      <c r="F19" s="240"/>
      <c r="G19" s="240">
        <v>50</v>
      </c>
      <c r="H19" s="281">
        <v>1370</v>
      </c>
      <c r="I19" s="207">
        <f>K19+M19+O19+Q19</f>
        <v>8.5</v>
      </c>
      <c r="J19" s="207">
        <f>L19+N19+P19+R19</f>
        <v>118.2614</v>
      </c>
      <c r="K19" s="207">
        <f>Кашперівська!C16</f>
        <v>3</v>
      </c>
      <c r="L19" s="207">
        <f>Кашперівська!R16/1000</f>
        <v>60</v>
      </c>
      <c r="M19" s="207">
        <f>Кашперівська!C17</f>
        <v>3</v>
      </c>
      <c r="N19" s="207">
        <f>Кашперівська!R17/1000</f>
        <v>40.5</v>
      </c>
      <c r="O19" s="207">
        <f>Кашперівська!C18</f>
        <v>1</v>
      </c>
      <c r="P19" s="207">
        <f>Кашперівська!R18/1000</f>
        <v>7.041399999999999</v>
      </c>
      <c r="Q19" s="207">
        <f>Кашперівська!C19</f>
        <v>1.5</v>
      </c>
      <c r="R19" s="207">
        <f>Кашперівська!R19/1000</f>
        <v>10.72</v>
      </c>
      <c r="S19" s="166"/>
      <c r="W19" s="504"/>
      <c r="X19" s="505"/>
    </row>
    <row r="20" spans="1:24" s="502" customFormat="1" ht="27" customHeight="1" thickBot="1">
      <c r="A20" s="238">
        <v>8</v>
      </c>
      <c r="B20" s="239" t="s">
        <v>179</v>
      </c>
      <c r="C20" s="240" t="s">
        <v>79</v>
      </c>
      <c r="D20" s="240"/>
      <c r="E20" s="241">
        <v>10</v>
      </c>
      <c r="F20" s="240"/>
      <c r="G20" s="240">
        <v>50</v>
      </c>
      <c r="H20" s="281">
        <v>2740</v>
      </c>
      <c r="I20" s="207">
        <f aca="true" t="shared" si="1" ref="I20:J22">K20+M20+O20+Q20</f>
        <v>8.5</v>
      </c>
      <c r="J20" s="207">
        <f t="shared" si="1"/>
        <v>118.2614</v>
      </c>
      <c r="K20" s="207">
        <f>'П''ятигірська'!C16</f>
        <v>3</v>
      </c>
      <c r="L20" s="207">
        <f>'П''ятигірська'!R16/1000</f>
        <v>60</v>
      </c>
      <c r="M20" s="207">
        <f>'П''ятигірська'!C17</f>
        <v>3</v>
      </c>
      <c r="N20" s="207">
        <f>'П''ятигірська'!R17/1000</f>
        <v>40.5</v>
      </c>
      <c r="O20" s="207">
        <f>'П''ятигірська'!C18</f>
        <v>1</v>
      </c>
      <c r="P20" s="207">
        <f>'П''ятигірська'!R18/1000</f>
        <v>7.041399999999999</v>
      </c>
      <c r="Q20" s="207">
        <f>'П''ятигірська'!C19</f>
        <v>1.5</v>
      </c>
      <c r="R20" s="207">
        <f>'П''ятигірська'!R19/1000</f>
        <v>10.72</v>
      </c>
      <c r="S20" s="166"/>
      <c r="W20" s="505"/>
      <c r="X20" s="505"/>
    </row>
    <row r="21" spans="1:24" s="502" customFormat="1" ht="27" customHeight="1" thickBot="1">
      <c r="A21" s="238">
        <v>9</v>
      </c>
      <c r="B21" s="239" t="s">
        <v>178</v>
      </c>
      <c r="C21" s="283" t="s">
        <v>107</v>
      </c>
      <c r="D21" s="240"/>
      <c r="E21" s="241"/>
      <c r="F21" s="240"/>
      <c r="G21" s="240">
        <v>50</v>
      </c>
      <c r="H21" s="281"/>
      <c r="I21" s="207">
        <f t="shared" si="1"/>
        <v>2.5</v>
      </c>
      <c r="J21" s="207">
        <f t="shared" si="1"/>
        <v>24.5614</v>
      </c>
      <c r="K21" s="207">
        <f>Теліженецька!C14</f>
        <v>0</v>
      </c>
      <c r="L21" s="207">
        <f>Теліженецька!R14/1000</f>
        <v>0</v>
      </c>
      <c r="M21" s="207">
        <f>Теліженецька!C15</f>
        <v>1</v>
      </c>
      <c r="N21" s="207">
        <f>Теліженецька!R15/1000</f>
        <v>13.5</v>
      </c>
      <c r="O21" s="207">
        <f>Теліженецька!C16</f>
        <v>1</v>
      </c>
      <c r="P21" s="207">
        <f>Теліженецька!R16/1000</f>
        <v>7.041399999999999</v>
      </c>
      <c r="Q21" s="207">
        <f>Теліженецька!C17</f>
        <v>0.5</v>
      </c>
      <c r="R21" s="207">
        <f>Теліженецька!R17/1000</f>
        <v>4.02</v>
      </c>
      <c r="S21" s="166"/>
      <c r="W21" s="504"/>
      <c r="X21" s="505"/>
    </row>
    <row r="22" spans="1:19" s="502" customFormat="1" ht="27" customHeight="1" thickBot="1">
      <c r="A22" s="238">
        <v>10</v>
      </c>
      <c r="B22" s="239" t="s">
        <v>247</v>
      </c>
      <c r="C22" s="240"/>
      <c r="D22" s="240"/>
      <c r="E22" s="241"/>
      <c r="F22" s="240"/>
      <c r="G22" s="240"/>
      <c r="H22" s="281"/>
      <c r="I22" s="207">
        <f>K22+M22+O22+Q22</f>
        <v>30.5</v>
      </c>
      <c r="J22" s="207">
        <f t="shared" si="1"/>
        <v>340.35</v>
      </c>
      <c r="K22" s="166"/>
      <c r="L22" s="166"/>
      <c r="M22" s="207">
        <f>ФП!C133</f>
        <v>20</v>
      </c>
      <c r="N22" s="207">
        <f>ФП!R133/1000</f>
        <v>270</v>
      </c>
      <c r="O22" s="166">
        <f>ФП!C134</f>
        <v>10.5</v>
      </c>
      <c r="P22" s="207">
        <f>ФП!R134/1000</f>
        <v>70.35</v>
      </c>
      <c r="Q22" s="207"/>
      <c r="R22" s="166"/>
      <c r="S22" s="166"/>
    </row>
    <row r="23" spans="1:19" s="261" customFormat="1" ht="19.5" thickBot="1">
      <c r="A23" s="238"/>
      <c r="B23" s="239"/>
      <c r="C23" s="283"/>
      <c r="D23" s="240"/>
      <c r="E23" s="241"/>
      <c r="F23" s="240"/>
      <c r="G23" s="240"/>
      <c r="H23" s="281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166"/>
    </row>
    <row r="24" spans="1:19" s="261" customFormat="1" ht="19.5" thickBot="1">
      <c r="A24" s="284"/>
      <c r="B24" s="239"/>
      <c r="C24" s="240"/>
      <c r="D24" s="240"/>
      <c r="E24" s="241"/>
      <c r="F24" s="240"/>
      <c r="G24" s="240"/>
      <c r="H24" s="281"/>
      <c r="I24" s="166"/>
      <c r="J24" s="494"/>
      <c r="K24" s="166"/>
      <c r="L24" s="166"/>
      <c r="M24" s="207"/>
      <c r="N24" s="207"/>
      <c r="O24" s="166"/>
      <c r="P24" s="207"/>
      <c r="Q24" s="207"/>
      <c r="R24" s="166"/>
      <c r="S24" s="166"/>
    </row>
    <row r="25" spans="1:19" s="261" customFormat="1" ht="18.75" customHeight="1" thickBot="1">
      <c r="A25" s="238"/>
      <c r="B25" s="285"/>
      <c r="C25" s="240"/>
      <c r="D25" s="240"/>
      <c r="E25" s="241"/>
      <c r="F25" s="240"/>
      <c r="G25" s="240"/>
      <c r="H25" s="281"/>
      <c r="I25" s="286"/>
      <c r="J25" s="495"/>
      <c r="K25" s="286"/>
      <c r="L25" s="286"/>
      <c r="M25" s="496"/>
      <c r="N25" s="286"/>
      <c r="O25" s="496"/>
      <c r="P25" s="286"/>
      <c r="Q25" s="286"/>
      <c r="R25" s="286"/>
      <c r="S25" s="286"/>
    </row>
    <row r="26" spans="1:19" s="261" customFormat="1" ht="19.5" hidden="1" thickBot="1">
      <c r="A26" s="266"/>
      <c r="B26" s="267"/>
      <c r="C26" s="275"/>
      <c r="D26" s="268"/>
      <c r="E26" s="269"/>
      <c r="F26" s="268"/>
      <c r="G26" s="268"/>
      <c r="H26" s="270"/>
      <c r="I26" s="271"/>
      <c r="J26" s="272">
        <f>L26+N26+P26+R26</f>
        <v>0</v>
      </c>
      <c r="K26" s="271"/>
      <c r="L26" s="271"/>
      <c r="M26" s="271"/>
      <c r="N26" s="271"/>
      <c r="O26" s="271"/>
      <c r="P26" s="271"/>
      <c r="Q26" s="271"/>
      <c r="R26" s="271"/>
      <c r="S26" s="273"/>
    </row>
    <row r="27" spans="1:19" s="262" customFormat="1" ht="19.5" hidden="1" thickBot="1">
      <c r="A27" s="274"/>
      <c r="B27" s="267"/>
      <c r="C27" s="268"/>
      <c r="D27" s="268"/>
      <c r="E27" s="269"/>
      <c r="F27" s="268"/>
      <c r="G27" s="268"/>
      <c r="H27" s="270"/>
      <c r="I27" s="273"/>
      <c r="J27" s="272">
        <f>L27+N27+P27+R27</f>
        <v>0</v>
      </c>
      <c r="K27" s="273"/>
      <c r="L27" s="273"/>
      <c r="M27" s="271"/>
      <c r="N27" s="271"/>
      <c r="O27" s="273"/>
      <c r="P27" s="271"/>
      <c r="Q27" s="271"/>
      <c r="R27" s="273"/>
      <c r="S27" s="273"/>
    </row>
    <row r="28" spans="1:19" s="506" customFormat="1" ht="19.5" thickBot="1">
      <c r="A28" s="521"/>
      <c r="B28" s="510" t="s">
        <v>120</v>
      </c>
      <c r="C28" s="283"/>
      <c r="D28" s="510">
        <v>1</v>
      </c>
      <c r="E28" s="511">
        <f>SUM(E12:E27)</f>
        <v>65</v>
      </c>
      <c r="F28" s="568"/>
      <c r="G28" s="569"/>
      <c r="H28" s="512">
        <f>SUM(H12:H27)</f>
        <v>17810</v>
      </c>
      <c r="I28" s="286">
        <f>SUM(I12:I16)+I18+I19+I20+I21+I22</f>
        <v>126.5</v>
      </c>
      <c r="J28" s="520">
        <f>J12+J13+J14+J15+J16+J18+J19+J20+J21+J22</f>
        <v>1584.2273300000002</v>
      </c>
      <c r="K28" s="496">
        <f aca="true" t="shared" si="2" ref="K28:R28">SUM(K12:K16)+K18+K19+K20+K21+K22</f>
        <v>23.25</v>
      </c>
      <c r="L28" s="286">
        <f t="shared" si="2"/>
        <v>424.312</v>
      </c>
      <c r="M28" s="496">
        <f t="shared" si="2"/>
        <v>56.75</v>
      </c>
      <c r="N28" s="286">
        <f t="shared" si="2"/>
        <v>769.1279999999999</v>
      </c>
      <c r="O28" s="286">
        <f t="shared" si="2"/>
        <v>19</v>
      </c>
      <c r="P28" s="286">
        <f t="shared" si="2"/>
        <v>130.20189999999997</v>
      </c>
      <c r="Q28" s="286">
        <f t="shared" si="2"/>
        <v>27.5</v>
      </c>
      <c r="R28" s="286">
        <f t="shared" si="2"/>
        <v>260.58543000000003</v>
      </c>
      <c r="S28" s="496">
        <f>S12</f>
        <v>6.25</v>
      </c>
    </row>
    <row r="29" ht="18.75">
      <c r="A29" s="27"/>
    </row>
    <row r="30" spans="1:10" ht="18.75">
      <c r="A30" s="27"/>
      <c r="J30" s="55"/>
    </row>
  </sheetData>
  <sheetProtection/>
  <mergeCells count="26">
    <mergeCell ref="B11:S11"/>
    <mergeCell ref="B17:S17"/>
    <mergeCell ref="F28:G28"/>
    <mergeCell ref="I8:J8"/>
    <mergeCell ref="K8:R8"/>
    <mergeCell ref="S8:S10"/>
    <mergeCell ref="F9:F10"/>
    <mergeCell ref="G9:G10"/>
    <mergeCell ref="I9:I10"/>
    <mergeCell ref="J9:J10"/>
    <mergeCell ref="O9:P9"/>
    <mergeCell ref="H5:J5"/>
    <mergeCell ref="L5:Q5"/>
    <mergeCell ref="H6:J6"/>
    <mergeCell ref="C7:N7"/>
    <mergeCell ref="Q9:R9"/>
    <mergeCell ref="L1:Q1"/>
    <mergeCell ref="B1:D1"/>
    <mergeCell ref="A8:A10"/>
    <mergeCell ref="B8:B10"/>
    <mergeCell ref="C8:C10"/>
    <mergeCell ref="D8:D10"/>
    <mergeCell ref="E8:E10"/>
    <mergeCell ref="F8:G8"/>
    <mergeCell ref="K9:L9"/>
    <mergeCell ref="M9:N9"/>
  </mergeCells>
  <printOptions/>
  <pageMargins left="0.25" right="0.14" top="0.16" bottom="0.18" header="0.15" footer="0.15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8"/>
  <sheetViews>
    <sheetView view="pageBreakPreview" zoomScale="75" zoomScaleNormal="75" zoomScaleSheetLayoutView="75" zoomScalePageLayoutView="0" workbookViewId="0" topLeftCell="A1">
      <selection activeCell="J3" sqref="J3:O3"/>
    </sheetView>
  </sheetViews>
  <sheetFormatPr defaultColWidth="9.00390625" defaultRowHeight="12.75"/>
  <cols>
    <col min="2" max="2" width="10.125" style="0" customWidth="1"/>
    <col min="3" max="3" width="10.625" style="0" customWidth="1"/>
    <col min="4" max="4" width="11.00390625" style="0" customWidth="1"/>
    <col min="5" max="5" width="10.75390625" style="0" customWidth="1"/>
    <col min="6" max="6" width="10.125" style="0" customWidth="1"/>
    <col min="7" max="7" width="10.00390625" style="0" customWidth="1"/>
    <col min="8" max="8" width="9.75390625" style="0" customWidth="1"/>
    <col min="9" max="9" width="11.625" style="0" customWidth="1"/>
    <col min="10" max="10" width="12.625" style="0" customWidth="1"/>
    <col min="11" max="11" width="11.875" style="0" customWidth="1"/>
    <col min="12" max="12" width="12.00390625" style="0" customWidth="1"/>
    <col min="13" max="13" width="11.375" style="0" customWidth="1"/>
    <col min="14" max="14" width="9.25390625" style="0" bestFit="1" customWidth="1"/>
    <col min="15" max="15" width="9.625" style="0" customWidth="1"/>
  </cols>
  <sheetData>
    <row r="1" spans="1:16" ht="15.75">
      <c r="A1" s="26"/>
      <c r="B1" s="180"/>
      <c r="C1" s="180"/>
      <c r="D1" s="180"/>
      <c r="E1" s="180"/>
      <c r="F1" s="180"/>
      <c r="G1" s="180"/>
      <c r="H1" s="26"/>
      <c r="I1" s="180"/>
      <c r="J1" s="180"/>
      <c r="K1" s="180"/>
      <c r="L1" s="180"/>
      <c r="M1" s="180"/>
      <c r="N1" s="180"/>
      <c r="O1" s="180"/>
      <c r="P1" s="180"/>
    </row>
    <row r="2" spans="1:16" ht="16.5">
      <c r="A2" s="26"/>
      <c r="B2" s="571"/>
      <c r="C2" s="571"/>
      <c r="D2" s="571"/>
      <c r="E2" s="571"/>
      <c r="F2" s="571"/>
      <c r="G2" s="245"/>
      <c r="H2" s="245"/>
      <c r="I2" s="173"/>
      <c r="J2" s="571" t="s">
        <v>73</v>
      </c>
      <c r="K2" s="571"/>
      <c r="L2" s="571"/>
      <c r="M2" s="571"/>
      <c r="N2" s="571"/>
      <c r="O2" s="173"/>
      <c r="P2" s="180"/>
    </row>
    <row r="3" spans="1:23" ht="16.5">
      <c r="A3" s="26"/>
      <c r="B3" s="571"/>
      <c r="C3" s="571"/>
      <c r="D3" s="571"/>
      <c r="E3" s="571"/>
      <c r="F3" s="571"/>
      <c r="G3" s="245"/>
      <c r="H3" s="245"/>
      <c r="I3" s="245"/>
      <c r="J3" s="572" t="s">
        <v>273</v>
      </c>
      <c r="K3" s="572"/>
      <c r="L3" s="572"/>
      <c r="M3" s="572"/>
      <c r="N3" s="572"/>
      <c r="O3" s="572"/>
      <c r="P3" s="180"/>
      <c r="R3" s="33"/>
      <c r="S3" s="33"/>
      <c r="T3" s="33"/>
      <c r="U3" s="33"/>
      <c r="V3" s="33"/>
      <c r="W3" s="32"/>
    </row>
    <row r="4" spans="1:23" ht="16.5">
      <c r="A4" s="26"/>
      <c r="B4" s="571"/>
      <c r="C4" s="571"/>
      <c r="D4" s="571"/>
      <c r="E4" s="571"/>
      <c r="F4" s="571"/>
      <c r="G4" s="245"/>
      <c r="H4" s="245"/>
      <c r="I4" s="245"/>
      <c r="J4" s="572" t="s">
        <v>221</v>
      </c>
      <c r="K4" s="572"/>
      <c r="L4" s="572"/>
      <c r="M4" s="572"/>
      <c r="N4" s="572"/>
      <c r="O4" s="572"/>
      <c r="P4" s="180"/>
      <c r="R4" s="71"/>
      <c r="S4" s="71"/>
      <c r="T4" s="71"/>
      <c r="U4" s="71"/>
      <c r="V4" s="71"/>
      <c r="W4" s="71"/>
    </row>
    <row r="5" spans="1:23" ht="16.5">
      <c r="A5" s="26"/>
      <c r="B5" s="571"/>
      <c r="C5" s="571"/>
      <c r="D5" s="571"/>
      <c r="E5" s="571"/>
      <c r="F5" s="571"/>
      <c r="G5" s="245"/>
      <c r="H5" s="573" t="s">
        <v>272</v>
      </c>
      <c r="I5" s="573"/>
      <c r="J5" s="573"/>
      <c r="K5" s="573"/>
      <c r="L5" s="573"/>
      <c r="M5" s="573"/>
      <c r="N5" s="573"/>
      <c r="O5" s="573"/>
      <c r="P5" s="180"/>
      <c r="R5" s="71"/>
      <c r="S5" s="71"/>
      <c r="T5" s="71"/>
      <c r="U5" s="71"/>
      <c r="V5" s="71"/>
      <c r="W5" s="71"/>
    </row>
    <row r="6" spans="1:23" ht="36.75" customHeight="1">
      <c r="A6" s="26"/>
      <c r="B6" s="571" t="s">
        <v>258</v>
      </c>
      <c r="C6" s="571"/>
      <c r="D6" s="571"/>
      <c r="E6" s="571"/>
      <c r="F6" s="571"/>
      <c r="G6" s="245"/>
      <c r="H6" s="245"/>
      <c r="I6" s="245"/>
      <c r="J6" s="590" t="s">
        <v>231</v>
      </c>
      <c r="K6" s="590"/>
      <c r="L6" s="590"/>
      <c r="M6" s="590"/>
      <c r="N6" s="590"/>
      <c r="O6" s="590"/>
      <c r="P6" s="180"/>
      <c r="R6" s="33"/>
      <c r="S6" s="33"/>
      <c r="T6" s="33"/>
      <c r="U6" s="33"/>
      <c r="V6" s="33"/>
      <c r="W6" s="33"/>
    </row>
    <row r="7" spans="1:23" ht="19.5" customHeight="1">
      <c r="A7" s="26"/>
      <c r="B7" s="581" t="s">
        <v>259</v>
      </c>
      <c r="C7" s="581"/>
      <c r="D7" s="581"/>
      <c r="E7" s="581"/>
      <c r="F7" s="581"/>
      <c r="G7" s="245"/>
      <c r="H7" s="245"/>
      <c r="I7" s="245"/>
      <c r="J7" s="574" t="s">
        <v>187</v>
      </c>
      <c r="K7" s="574"/>
      <c r="L7" s="574"/>
      <c r="M7" s="574"/>
      <c r="N7" s="574"/>
      <c r="O7" s="574"/>
      <c r="P7" s="180"/>
      <c r="R7" s="33"/>
      <c r="S7" s="33"/>
      <c r="T7" s="33"/>
      <c r="U7" s="33"/>
      <c r="V7" s="33"/>
      <c r="W7" s="33"/>
    </row>
    <row r="8" spans="1:23" ht="13.5" customHeight="1">
      <c r="A8" s="26"/>
      <c r="B8" s="481"/>
      <c r="C8" s="481"/>
      <c r="D8" s="480" t="s">
        <v>222</v>
      </c>
      <c r="E8" s="481"/>
      <c r="F8" s="481"/>
      <c r="G8" s="245"/>
      <c r="H8" s="245"/>
      <c r="I8" s="245"/>
      <c r="J8" s="480"/>
      <c r="K8" s="480"/>
      <c r="L8" s="480" t="s">
        <v>222</v>
      </c>
      <c r="M8" s="480"/>
      <c r="N8" s="480"/>
      <c r="O8" s="480"/>
      <c r="P8" s="180"/>
      <c r="R8" s="33"/>
      <c r="S8" s="33"/>
      <c r="T8" s="33"/>
      <c r="U8" s="33"/>
      <c r="V8" s="33"/>
      <c r="W8" s="33"/>
    </row>
    <row r="9" spans="1:23" ht="27" customHeight="1">
      <c r="A9" s="26"/>
      <c r="B9" s="571" t="s">
        <v>260</v>
      </c>
      <c r="C9" s="571"/>
      <c r="D9" s="571"/>
      <c r="E9" s="571"/>
      <c r="F9" s="571"/>
      <c r="G9" s="571"/>
      <c r="H9" s="26"/>
      <c r="I9" s="180"/>
      <c r="J9" s="571" t="s">
        <v>232</v>
      </c>
      <c r="K9" s="571"/>
      <c r="L9" s="571"/>
      <c r="M9" s="571"/>
      <c r="N9" s="571"/>
      <c r="O9" s="571"/>
      <c r="P9" s="180"/>
      <c r="R9" s="33"/>
      <c r="S9" s="33"/>
      <c r="T9" s="33"/>
      <c r="U9" s="33"/>
      <c r="V9" s="33"/>
      <c r="W9" s="33"/>
    </row>
    <row r="10" spans="1:23" ht="14.25" customHeight="1">
      <c r="A10" s="26"/>
      <c r="B10" s="550" t="s">
        <v>224</v>
      </c>
      <c r="C10" s="550"/>
      <c r="D10" s="550"/>
      <c r="E10" s="550"/>
      <c r="F10" s="550"/>
      <c r="G10" s="550"/>
      <c r="H10" s="26"/>
      <c r="I10" s="180"/>
      <c r="J10" s="550" t="s">
        <v>224</v>
      </c>
      <c r="K10" s="550"/>
      <c r="L10" s="550"/>
      <c r="M10" s="550"/>
      <c r="N10" s="550"/>
      <c r="O10" s="550"/>
      <c r="P10" s="180"/>
      <c r="R10" s="33"/>
      <c r="S10" s="33"/>
      <c r="T10" s="33"/>
      <c r="U10" s="33"/>
      <c r="V10" s="33"/>
      <c r="W10" s="33"/>
    </row>
    <row r="11" spans="1:23" ht="16.5">
      <c r="A11" s="26"/>
      <c r="B11" s="486" t="s">
        <v>250</v>
      </c>
      <c r="C11" s="486"/>
      <c r="D11" s="486"/>
      <c r="E11" s="486"/>
      <c r="F11" s="486" t="s">
        <v>223</v>
      </c>
      <c r="G11" s="486"/>
      <c r="H11" s="180"/>
      <c r="I11" s="180"/>
      <c r="J11" s="486" t="s">
        <v>250</v>
      </c>
      <c r="K11" s="486"/>
      <c r="L11" s="486"/>
      <c r="M11" s="486"/>
      <c r="N11" s="486" t="s">
        <v>223</v>
      </c>
      <c r="O11" s="486"/>
      <c r="P11" s="180"/>
      <c r="R11" s="33"/>
      <c r="S11" s="33"/>
      <c r="T11" s="33"/>
      <c r="U11" s="33"/>
      <c r="V11" s="33"/>
      <c r="W11" s="33"/>
    </row>
    <row r="12" spans="1:23" ht="16.5">
      <c r="A12" s="26"/>
      <c r="B12" s="180"/>
      <c r="C12" s="180"/>
      <c r="D12" s="180"/>
      <c r="E12" s="180"/>
      <c r="F12" s="180"/>
      <c r="G12" s="180"/>
      <c r="H12" s="180"/>
      <c r="I12" s="180"/>
      <c r="J12" s="486"/>
      <c r="K12" s="486"/>
      <c r="L12" s="486"/>
      <c r="M12" s="486"/>
      <c r="N12" s="486"/>
      <c r="O12" s="486"/>
      <c r="P12" s="180"/>
      <c r="R12" s="33"/>
      <c r="S12" s="33"/>
      <c r="T12" s="33"/>
      <c r="U12" s="33"/>
      <c r="V12" s="33"/>
      <c r="W12" s="33"/>
    </row>
    <row r="13" spans="1:23" ht="16.5">
      <c r="A13" s="26"/>
      <c r="B13" s="180"/>
      <c r="C13" s="180"/>
      <c r="D13" s="180"/>
      <c r="E13" s="180"/>
      <c r="F13" s="180"/>
      <c r="G13" s="180"/>
      <c r="H13" s="180"/>
      <c r="I13" s="180"/>
      <c r="J13" s="486"/>
      <c r="K13" s="486"/>
      <c r="L13" s="486"/>
      <c r="M13" s="486"/>
      <c r="N13" s="486"/>
      <c r="O13" s="486"/>
      <c r="P13" s="180"/>
      <c r="R13" s="33"/>
      <c r="S13" s="33"/>
      <c r="T13" s="33"/>
      <c r="U13" s="33"/>
      <c r="V13" s="33"/>
      <c r="W13" s="33"/>
    </row>
    <row r="14" spans="1:23" ht="18">
      <c r="A14" s="28"/>
      <c r="B14" s="180"/>
      <c r="C14" s="180"/>
      <c r="D14" s="180"/>
      <c r="E14" s="180"/>
      <c r="F14" s="180"/>
      <c r="G14" s="180"/>
      <c r="H14" s="180"/>
      <c r="I14" s="180"/>
      <c r="J14" s="560"/>
      <c r="K14" s="560"/>
      <c r="L14" s="560"/>
      <c r="M14" s="560"/>
      <c r="N14" s="560"/>
      <c r="O14" s="560"/>
      <c r="P14" s="180"/>
      <c r="R14" s="18"/>
      <c r="S14" s="73"/>
      <c r="T14" s="73"/>
      <c r="U14" s="73"/>
      <c r="V14" s="73"/>
      <c r="W14" s="73"/>
    </row>
    <row r="15" spans="1:23" ht="18.75">
      <c r="A15" s="246"/>
      <c r="B15" s="246"/>
      <c r="C15" s="246"/>
      <c r="D15" s="246"/>
      <c r="E15" s="246"/>
      <c r="F15" s="246"/>
      <c r="G15" s="246"/>
      <c r="H15" s="246"/>
      <c r="I15" s="74"/>
      <c r="J15" s="246"/>
      <c r="K15" s="246"/>
      <c r="L15" s="246"/>
      <c r="M15" s="246"/>
      <c r="N15" s="246"/>
      <c r="O15" s="180"/>
      <c r="P15" s="180"/>
      <c r="S15" s="72"/>
      <c r="T15" s="72"/>
      <c r="U15" s="72"/>
      <c r="V15" s="38"/>
      <c r="W15" s="38"/>
    </row>
    <row r="16" spans="1:16" ht="18.75" customHeight="1">
      <c r="A16" s="582" t="s">
        <v>117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180"/>
    </row>
    <row r="17" spans="1:16" s="18" customFormat="1" ht="21" customHeight="1">
      <c r="A17" s="583" t="s">
        <v>200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136"/>
    </row>
    <row r="18" spans="1:16" s="18" customFormat="1" ht="19.5" customHeight="1">
      <c r="A18" s="583" t="s">
        <v>254</v>
      </c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136"/>
    </row>
    <row r="19" spans="1:16" s="18" customFormat="1" ht="18.75">
      <c r="A19" s="76"/>
      <c r="B19" s="76"/>
      <c r="C19" s="76"/>
      <c r="D19" s="76"/>
      <c r="E19" s="76"/>
      <c r="F19" s="76"/>
      <c r="G19" s="76"/>
      <c r="H19" s="75"/>
      <c r="I19" s="76"/>
      <c r="J19" s="75"/>
      <c r="K19" s="75"/>
      <c r="L19" s="75"/>
      <c r="M19" s="75"/>
      <c r="N19" s="76"/>
      <c r="O19" s="136"/>
      <c r="P19" s="136"/>
    </row>
    <row r="20" spans="1:16" s="29" customFormat="1" ht="18.75">
      <c r="A20" s="587"/>
      <c r="B20" s="588"/>
      <c r="C20" s="588"/>
      <c r="D20" s="588"/>
      <c r="E20" s="589"/>
      <c r="F20" s="587" t="s">
        <v>118</v>
      </c>
      <c r="G20" s="588"/>
      <c r="H20" s="588"/>
      <c r="I20" s="588"/>
      <c r="J20" s="589"/>
      <c r="K20" s="587" t="s">
        <v>119</v>
      </c>
      <c r="L20" s="588"/>
      <c r="M20" s="588"/>
      <c r="N20" s="588"/>
      <c r="O20" s="589"/>
      <c r="P20" s="247"/>
    </row>
    <row r="21" spans="1:16" s="29" customFormat="1" ht="18.75">
      <c r="A21" s="575" t="s">
        <v>162</v>
      </c>
      <c r="B21" s="576"/>
      <c r="C21" s="576"/>
      <c r="D21" s="576"/>
      <c r="E21" s="577"/>
      <c r="F21" s="578">
        <f>40-10</f>
        <v>30</v>
      </c>
      <c r="G21" s="579"/>
      <c r="H21" s="579"/>
      <c r="I21" s="579"/>
      <c r="J21" s="580"/>
      <c r="K21" s="584">
        <f>10960/40*30</f>
        <v>8220</v>
      </c>
      <c r="L21" s="585"/>
      <c r="M21" s="585"/>
      <c r="N21" s="585"/>
      <c r="O21" s="586"/>
      <c r="P21" s="247"/>
    </row>
    <row r="22" spans="1:16" s="29" customFormat="1" ht="18.75">
      <c r="A22" s="575" t="s">
        <v>171</v>
      </c>
      <c r="B22" s="576"/>
      <c r="C22" s="576"/>
      <c r="D22" s="576"/>
      <c r="E22" s="577"/>
      <c r="F22" s="578">
        <v>10</v>
      </c>
      <c r="G22" s="579"/>
      <c r="H22" s="579"/>
      <c r="I22" s="579"/>
      <c r="J22" s="580"/>
      <c r="K22" s="584">
        <v>2740</v>
      </c>
      <c r="L22" s="585"/>
      <c r="M22" s="585"/>
      <c r="N22" s="585"/>
      <c r="O22" s="586"/>
      <c r="P22" s="247"/>
    </row>
    <row r="23" spans="1:16" s="29" customFormat="1" ht="18.75">
      <c r="A23" s="575" t="s">
        <v>165</v>
      </c>
      <c r="B23" s="576"/>
      <c r="C23" s="576"/>
      <c r="D23" s="576"/>
      <c r="E23" s="577"/>
      <c r="F23" s="578">
        <v>5</v>
      </c>
      <c r="G23" s="579"/>
      <c r="H23" s="579"/>
      <c r="I23" s="579"/>
      <c r="J23" s="580"/>
      <c r="K23" s="584">
        <v>1370</v>
      </c>
      <c r="L23" s="585"/>
      <c r="M23" s="585"/>
      <c r="N23" s="585"/>
      <c r="O23" s="586"/>
      <c r="P23" s="247"/>
    </row>
    <row r="24" spans="1:16" s="29" customFormat="1" ht="18.75">
      <c r="A24" s="575" t="s">
        <v>163</v>
      </c>
      <c r="B24" s="576"/>
      <c r="C24" s="576"/>
      <c r="D24" s="576"/>
      <c r="E24" s="577"/>
      <c r="F24" s="578">
        <v>20</v>
      </c>
      <c r="G24" s="579"/>
      <c r="H24" s="579"/>
      <c r="I24" s="579"/>
      <c r="J24" s="580"/>
      <c r="K24" s="584">
        <v>5480</v>
      </c>
      <c r="L24" s="585"/>
      <c r="M24" s="585"/>
      <c r="N24" s="585"/>
      <c r="O24" s="586"/>
      <c r="P24" s="247"/>
    </row>
    <row r="25" spans="1:16" s="29" customFormat="1" ht="18.75">
      <c r="A25" s="601" t="s">
        <v>120</v>
      </c>
      <c r="B25" s="602"/>
      <c r="C25" s="602"/>
      <c r="D25" s="602"/>
      <c r="E25" s="603"/>
      <c r="F25" s="591">
        <f>SUM(F21:F24)</f>
        <v>65</v>
      </c>
      <c r="G25" s="592"/>
      <c r="H25" s="592"/>
      <c r="I25" s="592"/>
      <c r="J25" s="593"/>
      <c r="K25" s="598">
        <f>SUM(K21:K24)</f>
        <v>17810</v>
      </c>
      <c r="L25" s="599"/>
      <c r="M25" s="599"/>
      <c r="N25" s="599"/>
      <c r="O25" s="600"/>
      <c r="P25" s="247"/>
    </row>
    <row r="26" spans="1:16" s="29" customFormat="1" ht="18.75">
      <c r="A26" s="77"/>
      <c r="B26" s="78"/>
      <c r="C26" s="79"/>
      <c r="D26" s="79"/>
      <c r="E26" s="80"/>
      <c r="F26" s="79"/>
      <c r="G26" s="79"/>
      <c r="H26" s="79"/>
      <c r="I26" s="81"/>
      <c r="J26" s="82"/>
      <c r="K26" s="82"/>
      <c r="L26" s="82"/>
      <c r="M26" s="82"/>
      <c r="N26" s="79"/>
      <c r="O26" s="247"/>
      <c r="P26" s="247"/>
    </row>
    <row r="27" spans="1:16" s="29" customFormat="1" ht="18.75">
      <c r="A27" s="77"/>
      <c r="B27" s="78"/>
      <c r="C27" s="79"/>
      <c r="D27" s="79"/>
      <c r="E27" s="80"/>
      <c r="F27" s="79"/>
      <c r="G27" s="79"/>
      <c r="H27" s="79"/>
      <c r="I27" s="81"/>
      <c r="J27" s="82"/>
      <c r="K27" s="82"/>
      <c r="L27" s="82"/>
      <c r="M27" s="82"/>
      <c r="N27" s="79"/>
      <c r="O27" s="247"/>
      <c r="P27" s="247"/>
    </row>
    <row r="28" spans="1:16" s="29" customFormat="1" ht="21.75" customHeight="1">
      <c r="A28" s="77"/>
      <c r="B28" s="594" t="s">
        <v>233</v>
      </c>
      <c r="C28" s="594"/>
      <c r="D28" s="594"/>
      <c r="E28" s="594"/>
      <c r="F28" s="594"/>
      <c r="G28" s="594"/>
      <c r="H28" s="79"/>
      <c r="I28" s="81"/>
      <c r="J28" s="596" t="s">
        <v>234</v>
      </c>
      <c r="K28" s="596"/>
      <c r="L28" s="596"/>
      <c r="M28" s="596"/>
      <c r="N28" s="79"/>
      <c r="O28" s="247"/>
      <c r="P28" s="247"/>
    </row>
    <row r="29" spans="1:16" s="18" customFormat="1" ht="18.75">
      <c r="A29" s="77"/>
      <c r="B29" s="83"/>
      <c r="C29" s="75"/>
      <c r="D29" s="75"/>
      <c r="E29" s="84"/>
      <c r="F29" s="75"/>
      <c r="G29" s="75"/>
      <c r="H29" s="75"/>
      <c r="I29" s="81"/>
      <c r="J29" s="75"/>
      <c r="K29" s="85"/>
      <c r="L29" s="86"/>
      <c r="M29" s="86"/>
      <c r="N29" s="75"/>
      <c r="O29" s="136"/>
      <c r="P29" s="136"/>
    </row>
    <row r="30" spans="1:16" s="18" customFormat="1" ht="18" customHeight="1">
      <c r="A30" s="76"/>
      <c r="B30" s="595" t="s">
        <v>77</v>
      </c>
      <c r="C30" s="595"/>
      <c r="D30" s="76"/>
      <c r="E30" s="76"/>
      <c r="F30" s="597"/>
      <c r="G30" s="597"/>
      <c r="H30" s="87"/>
      <c r="I30" s="88"/>
      <c r="J30" s="596" t="s">
        <v>225</v>
      </c>
      <c r="K30" s="596"/>
      <c r="L30" s="88"/>
      <c r="M30" s="89"/>
      <c r="N30" s="90"/>
      <c r="O30" s="136"/>
      <c r="P30" s="136"/>
    </row>
    <row r="31" spans="1:16" ht="18.75">
      <c r="A31" s="27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.75" customHeight="1">
      <c r="A32" s="27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</row>
    <row r="38" spans="5:7" ht="18.75">
      <c r="E38" s="595"/>
      <c r="F38" s="595"/>
      <c r="G38" s="595"/>
    </row>
  </sheetData>
  <sheetProtection/>
  <mergeCells count="44">
    <mergeCell ref="B28:G28"/>
    <mergeCell ref="E38:G38"/>
    <mergeCell ref="B30:C30"/>
    <mergeCell ref="J30:K30"/>
    <mergeCell ref="F30:G30"/>
    <mergeCell ref="K25:O25"/>
    <mergeCell ref="A25:E25"/>
    <mergeCell ref="J28:M28"/>
    <mergeCell ref="A18:O18"/>
    <mergeCell ref="J6:O6"/>
    <mergeCell ref="A20:E20"/>
    <mergeCell ref="F20:J20"/>
    <mergeCell ref="B6:F6"/>
    <mergeCell ref="F25:J25"/>
    <mergeCell ref="A24:E24"/>
    <mergeCell ref="F23:J23"/>
    <mergeCell ref="F24:J24"/>
    <mergeCell ref="J14:O14"/>
    <mergeCell ref="K23:O23"/>
    <mergeCell ref="K24:O24"/>
    <mergeCell ref="K20:O20"/>
    <mergeCell ref="A21:E21"/>
    <mergeCell ref="A23:E23"/>
    <mergeCell ref="K21:O21"/>
    <mergeCell ref="J7:O7"/>
    <mergeCell ref="J9:O9"/>
    <mergeCell ref="J10:O10"/>
    <mergeCell ref="A22:E22"/>
    <mergeCell ref="F22:J22"/>
    <mergeCell ref="B7:F7"/>
    <mergeCell ref="A16:O16"/>
    <mergeCell ref="A17:O17"/>
    <mergeCell ref="F21:J21"/>
    <mergeCell ref="K22:O22"/>
    <mergeCell ref="B9:G9"/>
    <mergeCell ref="B10:G10"/>
    <mergeCell ref="J2:N2"/>
    <mergeCell ref="B2:F2"/>
    <mergeCell ref="B4:F4"/>
    <mergeCell ref="B5:F5"/>
    <mergeCell ref="J3:O3"/>
    <mergeCell ref="B3:F3"/>
    <mergeCell ref="J4:O4"/>
    <mergeCell ref="H5:O5"/>
  </mergeCells>
  <printOptions/>
  <pageMargins left="0.2362204724409449" right="0.15748031496062992" top="0.15748031496062992" bottom="0.1968503937007874" header="0.15748031496062992" footer="0.15748031496062992"/>
  <pageSetup fitToHeight="1" fitToWidth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9966"/>
  </sheetPr>
  <dimension ref="A1:Y74"/>
  <sheetViews>
    <sheetView view="pageBreakPreview" zoomScale="80" zoomScaleNormal="75" zoomScaleSheetLayoutView="80" zoomScalePageLayoutView="0" workbookViewId="0" topLeftCell="A1">
      <pane ySplit="7" topLeftCell="A18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3" width="12.625" style="0" customWidth="1"/>
    <col min="4" max="4" width="11.875" style="0" customWidth="1"/>
    <col min="5" max="5" width="13.25390625" style="0" customWidth="1"/>
    <col min="6" max="6" width="11.875" style="0" customWidth="1"/>
    <col min="7" max="7" width="10.75390625" style="0" customWidth="1"/>
    <col min="8" max="8" width="11.25390625" style="0" customWidth="1"/>
    <col min="9" max="9" width="10.625" style="0" customWidth="1"/>
    <col min="10" max="10" width="9.25390625" style="0" customWidth="1"/>
    <col min="11" max="11" width="11.125" style="0" customWidth="1"/>
    <col min="12" max="12" width="9.125" style="0" customWidth="1"/>
    <col min="13" max="13" width="9.75390625" style="0" customWidth="1"/>
    <col min="14" max="16" width="10.75390625" style="0" customWidth="1"/>
    <col min="17" max="17" width="12.25390625" style="0" customWidth="1"/>
    <col min="18" max="18" width="14.25390625" style="0" customWidth="1"/>
    <col min="19" max="19" width="10.75390625" style="0" customWidth="1"/>
    <col min="20" max="20" width="11.125" style="0" customWidth="1"/>
    <col min="22" max="22" width="10.125" style="0" customWidth="1"/>
    <col min="24" max="24" width="10.375" style="0" customWidth="1"/>
  </cols>
  <sheetData>
    <row r="1" spans="1:19" ht="15.7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94.5" customHeight="1">
      <c r="A2" s="608"/>
      <c r="B2" s="608"/>
      <c r="C2" s="608"/>
      <c r="D2" s="608"/>
      <c r="E2" s="50" t="s">
        <v>159</v>
      </c>
      <c r="F2" s="50" t="s">
        <v>90</v>
      </c>
      <c r="G2" s="50" t="s">
        <v>185</v>
      </c>
      <c r="H2" s="50" t="s">
        <v>91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19" ht="12.7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60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/>
      <c r="R3" s="52">
        <v>17</v>
      </c>
      <c r="S3" s="52">
        <v>18</v>
      </c>
    </row>
    <row r="4" spans="1:19" ht="16.5">
      <c r="A4" s="615" t="s">
        <v>125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</row>
    <row r="5" spans="1:19" ht="15.75">
      <c r="A5" s="616" t="s">
        <v>10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</row>
    <row r="6" spans="1:19" ht="15.75">
      <c r="A6" s="610" t="s">
        <v>188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</row>
    <row r="7" spans="1:19" ht="21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39"/>
      <c r="O7" s="40"/>
      <c r="P7" s="40"/>
      <c r="Q7" s="40"/>
      <c r="R7" s="40"/>
      <c r="S7" s="40"/>
    </row>
    <row r="8" spans="1:22" s="122" customFormat="1" ht="19.5" customHeight="1">
      <c r="A8" s="290">
        <f>(A7+1)</f>
        <v>1</v>
      </c>
      <c r="B8" s="288" t="s">
        <v>230</v>
      </c>
      <c r="C8" s="294">
        <v>1</v>
      </c>
      <c r="D8" s="257">
        <v>18000</v>
      </c>
      <c r="E8" s="257"/>
      <c r="F8" s="257"/>
      <c r="G8" s="295"/>
      <c r="H8" s="257"/>
      <c r="I8" s="257"/>
      <c r="J8" s="257"/>
      <c r="K8" s="257">
        <f aca="true" t="shared" si="0" ref="K8:K13">SUM(D8:J8)</f>
        <v>18000</v>
      </c>
      <c r="L8" s="257"/>
      <c r="M8" s="257"/>
      <c r="N8" s="295">
        <f>K8*20%</f>
        <v>3600</v>
      </c>
      <c r="O8" s="257"/>
      <c r="P8" s="257"/>
      <c r="Q8" s="257"/>
      <c r="R8" s="257">
        <f aca="true" t="shared" si="1" ref="R8:R13">SUM(K8:P8)*C8</f>
        <v>21600</v>
      </c>
      <c r="S8" s="296">
        <v>16</v>
      </c>
      <c r="T8" s="121"/>
      <c r="U8" s="121"/>
      <c r="V8" s="121"/>
    </row>
    <row r="9" spans="1:24" s="122" customFormat="1" ht="48" customHeight="1">
      <c r="A9" s="290">
        <f>(A8+1)</f>
        <v>2</v>
      </c>
      <c r="B9" s="288" t="s">
        <v>255</v>
      </c>
      <c r="C9" s="294">
        <v>1</v>
      </c>
      <c r="D9" s="298">
        <f>6700*2.7</f>
        <v>18090</v>
      </c>
      <c r="E9" s="257"/>
      <c r="F9" s="257"/>
      <c r="G9" s="295"/>
      <c r="H9" s="257"/>
      <c r="I9" s="257"/>
      <c r="J9" s="257"/>
      <c r="K9" s="257">
        <f t="shared" si="0"/>
        <v>18090</v>
      </c>
      <c r="L9" s="257"/>
      <c r="M9" s="257"/>
      <c r="N9" s="295">
        <f>K9*30%</f>
        <v>5427</v>
      </c>
      <c r="O9" s="257"/>
      <c r="P9" s="257"/>
      <c r="Q9" s="257"/>
      <c r="R9" s="257">
        <f t="shared" si="1"/>
        <v>23517</v>
      </c>
      <c r="S9" s="296">
        <v>16</v>
      </c>
      <c r="T9" s="121"/>
      <c r="U9" s="121"/>
      <c r="V9" s="121"/>
      <c r="X9" s="497">
        <f>18000</f>
        <v>18000</v>
      </c>
    </row>
    <row r="10" spans="1:24" s="122" customFormat="1" ht="19.5" customHeight="1">
      <c r="A10" s="291">
        <v>3</v>
      </c>
      <c r="B10" s="289" t="s">
        <v>13</v>
      </c>
      <c r="C10" s="297">
        <v>1</v>
      </c>
      <c r="D10" s="298">
        <f>6700*2.7</f>
        <v>18090</v>
      </c>
      <c r="E10" s="298"/>
      <c r="F10" s="298"/>
      <c r="G10" s="299"/>
      <c r="H10" s="298"/>
      <c r="I10" s="298"/>
      <c r="J10" s="298"/>
      <c r="K10" s="257">
        <f t="shared" si="0"/>
        <v>18090</v>
      </c>
      <c r="L10" s="257"/>
      <c r="M10" s="300"/>
      <c r="N10" s="299"/>
      <c r="O10" s="298"/>
      <c r="P10" s="298"/>
      <c r="Q10" s="298"/>
      <c r="R10" s="257">
        <f t="shared" si="1"/>
        <v>18090</v>
      </c>
      <c r="S10" s="301">
        <v>11</v>
      </c>
      <c r="T10" s="121"/>
      <c r="U10" s="121"/>
      <c r="V10" s="121"/>
      <c r="X10" s="497">
        <f>X9*50%</f>
        <v>9000</v>
      </c>
    </row>
    <row r="11" spans="1:22" s="122" customFormat="1" ht="31.5" customHeight="1" hidden="1">
      <c r="A11" s="291"/>
      <c r="B11" s="289"/>
      <c r="C11" s="297"/>
      <c r="D11" s="298"/>
      <c r="E11" s="298"/>
      <c r="F11" s="298"/>
      <c r="G11" s="299"/>
      <c r="H11" s="298"/>
      <c r="I11" s="298"/>
      <c r="J11" s="298"/>
      <c r="K11" s="257"/>
      <c r="L11" s="257"/>
      <c r="M11" s="300"/>
      <c r="N11" s="299"/>
      <c r="O11" s="298"/>
      <c r="P11" s="298"/>
      <c r="Q11" s="298"/>
      <c r="R11" s="257"/>
      <c r="S11" s="301"/>
      <c r="T11" s="121"/>
      <c r="U11" s="121"/>
      <c r="V11" s="121"/>
    </row>
    <row r="12" spans="1:22" s="122" customFormat="1" ht="19.5" customHeight="1">
      <c r="A12" s="292">
        <v>4</v>
      </c>
      <c r="B12" s="288" t="s">
        <v>201</v>
      </c>
      <c r="C12" s="294">
        <v>1</v>
      </c>
      <c r="D12" s="257">
        <f>6700*1.8</f>
        <v>12060</v>
      </c>
      <c r="E12" s="257"/>
      <c r="F12" s="257"/>
      <c r="G12" s="295"/>
      <c r="H12" s="257"/>
      <c r="I12" s="257"/>
      <c r="J12" s="257"/>
      <c r="K12" s="302">
        <f t="shared" si="0"/>
        <v>12060</v>
      </c>
      <c r="L12" s="257"/>
      <c r="M12" s="257"/>
      <c r="N12" s="295"/>
      <c r="O12" s="257"/>
      <c r="P12" s="257"/>
      <c r="Q12" s="257">
        <f>13500-(D12)*C12</f>
        <v>1440</v>
      </c>
      <c r="R12" s="257">
        <f>SUM(K12:P12)*C12+Q12</f>
        <v>13500</v>
      </c>
      <c r="S12" s="303">
        <v>11</v>
      </c>
      <c r="T12" s="121"/>
      <c r="U12" s="121"/>
      <c r="V12" s="121"/>
    </row>
    <row r="13" spans="1:22" s="122" customFormat="1" ht="19.5" customHeight="1">
      <c r="A13" s="290">
        <v>5</v>
      </c>
      <c r="B13" s="288" t="s">
        <v>202</v>
      </c>
      <c r="C13" s="294">
        <v>1</v>
      </c>
      <c r="D13" s="257">
        <f>6700*1.7</f>
        <v>11390</v>
      </c>
      <c r="E13" s="257"/>
      <c r="F13" s="257"/>
      <c r="G13" s="257"/>
      <c r="H13" s="257"/>
      <c r="I13" s="257"/>
      <c r="J13" s="257"/>
      <c r="K13" s="257">
        <f t="shared" si="0"/>
        <v>11390</v>
      </c>
      <c r="L13" s="257"/>
      <c r="M13" s="257"/>
      <c r="N13" s="257"/>
      <c r="O13" s="257"/>
      <c r="P13" s="257"/>
      <c r="Q13" s="257"/>
      <c r="R13" s="257">
        <f t="shared" si="1"/>
        <v>11390</v>
      </c>
      <c r="S13" s="296">
        <v>7</v>
      </c>
      <c r="T13" s="121"/>
      <c r="U13" s="121"/>
      <c r="V13" s="121"/>
    </row>
    <row r="14" spans="1:22" ht="19.5" customHeight="1">
      <c r="A14" s="1"/>
      <c r="B14" s="304" t="s">
        <v>78</v>
      </c>
      <c r="C14" s="305">
        <f>SUM(C8:C13)</f>
        <v>5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>
        <f>SUM(R8:R13)</f>
        <v>88097</v>
      </c>
      <c r="S14" s="119"/>
      <c r="T14" s="55"/>
      <c r="U14" s="55"/>
      <c r="V14" s="55"/>
    </row>
    <row r="15" spans="1:22" ht="19.5" customHeight="1">
      <c r="A15" s="99"/>
      <c r="B15" s="100" t="s">
        <v>127</v>
      </c>
      <c r="C15" s="307">
        <f>C9</f>
        <v>1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>
        <f>R9</f>
        <v>23517</v>
      </c>
      <c r="S15" s="120"/>
      <c r="T15" s="55"/>
      <c r="U15" s="55"/>
      <c r="V15" s="55"/>
    </row>
    <row r="16" spans="1:22" ht="19.5" customHeight="1">
      <c r="A16" s="101" t="s">
        <v>48</v>
      </c>
      <c r="B16" s="102" t="s">
        <v>126</v>
      </c>
      <c r="C16" s="307">
        <f>C12</f>
        <v>1</v>
      </c>
      <c r="D16" s="309"/>
      <c r="E16" s="309"/>
      <c r="F16" s="309"/>
      <c r="G16" s="309"/>
      <c r="H16" s="309"/>
      <c r="I16" s="309"/>
      <c r="J16" s="309"/>
      <c r="K16" s="309"/>
      <c r="L16" s="310"/>
      <c r="M16" s="309"/>
      <c r="N16" s="309"/>
      <c r="O16" s="309"/>
      <c r="P16" s="309"/>
      <c r="Q16" s="309"/>
      <c r="R16" s="308">
        <f>R12</f>
        <v>13500</v>
      </c>
      <c r="S16" s="120"/>
      <c r="T16" s="55"/>
      <c r="U16" s="55"/>
      <c r="V16" s="55"/>
    </row>
    <row r="17" spans="1:22" ht="19.5" customHeight="1">
      <c r="A17" s="62"/>
      <c r="B17" s="102" t="s">
        <v>128</v>
      </c>
      <c r="C17" s="311">
        <f>C8+C10+C13+C11</f>
        <v>3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3">
        <f>R8+R10+R13</f>
        <v>51080</v>
      </c>
      <c r="S17" s="120"/>
      <c r="T17" s="55"/>
      <c r="U17" s="55"/>
      <c r="V17" s="55"/>
    </row>
    <row r="18" spans="1:22" ht="23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55"/>
      <c r="U18" s="55"/>
      <c r="V18" s="55"/>
    </row>
    <row r="19" spans="1:22" ht="15.75">
      <c r="A19" s="610" t="s">
        <v>189</v>
      </c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55"/>
      <c r="U19" s="55"/>
      <c r="V19" s="55"/>
    </row>
    <row r="20" spans="1:22" ht="18.75">
      <c r="A20" s="614"/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55"/>
      <c r="U20" s="55"/>
      <c r="V20" s="55"/>
    </row>
    <row r="21" spans="1:22" ht="15" customHeight="1">
      <c r="A21" s="6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/>
      <c r="R21" s="5">
        <v>17</v>
      </c>
      <c r="S21" s="5">
        <v>18</v>
      </c>
      <c r="T21" s="55"/>
      <c r="U21" s="55"/>
      <c r="V21" s="55"/>
    </row>
    <row r="22" spans="1:22" ht="31.5" customHeight="1">
      <c r="A22" s="253">
        <v>1</v>
      </c>
      <c r="B22" s="254" t="s">
        <v>170</v>
      </c>
      <c r="C22" s="187">
        <v>0.5</v>
      </c>
      <c r="D22" s="302">
        <f>6700*1.1</f>
        <v>7370.000000000001</v>
      </c>
      <c r="E22" s="256"/>
      <c r="F22" s="256"/>
      <c r="G22" s="256"/>
      <c r="H22" s="256"/>
      <c r="I22" s="256"/>
      <c r="J22" s="256"/>
      <c r="K22" s="256">
        <f aca="true" t="shared" si="2" ref="K22:K39">SUM(D22:J22)</f>
        <v>7370.000000000001</v>
      </c>
      <c r="L22" s="256"/>
      <c r="M22" s="256"/>
      <c r="N22" s="256"/>
      <c r="O22" s="256"/>
      <c r="P22" s="256"/>
      <c r="Q22" s="256"/>
      <c r="R22" s="258">
        <f>SUM(K22:P22)*C22</f>
        <v>3685.0000000000005</v>
      </c>
      <c r="S22" s="259">
        <v>8</v>
      </c>
      <c r="T22" s="55"/>
      <c r="U22" s="55"/>
      <c r="V22" s="55"/>
    </row>
    <row r="23" spans="1:22" ht="31.5" customHeight="1">
      <c r="A23" s="253">
        <v>2</v>
      </c>
      <c r="B23" s="254" t="s">
        <v>248</v>
      </c>
      <c r="C23" s="187">
        <v>0.5</v>
      </c>
      <c r="D23" s="302">
        <f>6700*1.1</f>
        <v>7370.000000000001</v>
      </c>
      <c r="E23" s="256"/>
      <c r="F23" s="256"/>
      <c r="G23" s="256"/>
      <c r="H23" s="256"/>
      <c r="I23" s="256"/>
      <c r="J23" s="256"/>
      <c r="K23" s="256">
        <f t="shared" si="2"/>
        <v>7370.000000000001</v>
      </c>
      <c r="L23" s="256"/>
      <c r="M23" s="256"/>
      <c r="N23" s="256"/>
      <c r="O23" s="256"/>
      <c r="P23" s="256"/>
      <c r="Q23" s="256"/>
      <c r="R23" s="258">
        <f>SUM(K23:P23)*C23</f>
        <v>3685.0000000000005</v>
      </c>
      <c r="S23" s="259">
        <v>8</v>
      </c>
      <c r="T23" s="55"/>
      <c r="U23" s="55"/>
      <c r="V23" s="55"/>
    </row>
    <row r="24" spans="1:22" ht="19.5" customHeight="1">
      <c r="A24" s="253">
        <v>3</v>
      </c>
      <c r="B24" s="254" t="s">
        <v>235</v>
      </c>
      <c r="C24" s="187">
        <v>1</v>
      </c>
      <c r="D24" s="256">
        <f>6700*1.6</f>
        <v>10720</v>
      </c>
      <c r="E24" s="256"/>
      <c r="F24" s="256"/>
      <c r="G24" s="256"/>
      <c r="H24" s="256"/>
      <c r="I24" s="256"/>
      <c r="J24" s="256"/>
      <c r="K24" s="256">
        <f t="shared" si="2"/>
        <v>10720</v>
      </c>
      <c r="L24" s="256"/>
      <c r="M24" s="256"/>
      <c r="N24" s="256"/>
      <c r="O24" s="256"/>
      <c r="P24" s="256"/>
      <c r="Q24" s="256"/>
      <c r="R24" s="258">
        <f aca="true" t="shared" si="3" ref="R24:R37">SUM(K24:P24)*C24</f>
        <v>10720</v>
      </c>
      <c r="S24" s="259">
        <v>6</v>
      </c>
      <c r="T24" s="55"/>
      <c r="U24" s="55"/>
      <c r="V24" s="55"/>
    </row>
    <row r="25" spans="1:22" ht="31.5" customHeight="1">
      <c r="A25" s="253">
        <v>4</v>
      </c>
      <c r="B25" s="288" t="s">
        <v>205</v>
      </c>
      <c r="C25" s="187">
        <v>0.5</v>
      </c>
      <c r="D25" s="256">
        <f>6700*1.6</f>
        <v>10720</v>
      </c>
      <c r="E25" s="256"/>
      <c r="F25" s="256"/>
      <c r="G25" s="256"/>
      <c r="H25" s="256"/>
      <c r="I25" s="256"/>
      <c r="J25" s="256"/>
      <c r="K25" s="256">
        <f t="shared" si="2"/>
        <v>10720</v>
      </c>
      <c r="L25" s="256"/>
      <c r="M25" s="256"/>
      <c r="N25" s="256"/>
      <c r="O25" s="256"/>
      <c r="P25" s="256"/>
      <c r="Q25" s="256"/>
      <c r="R25" s="258">
        <f t="shared" si="3"/>
        <v>5360</v>
      </c>
      <c r="S25" s="259">
        <v>7</v>
      </c>
      <c r="T25" s="55"/>
      <c r="U25" s="55"/>
      <c r="V25" s="55"/>
    </row>
    <row r="26" spans="1:22" ht="19.5" customHeight="1">
      <c r="A26" s="253">
        <v>5</v>
      </c>
      <c r="B26" s="254" t="s">
        <v>81</v>
      </c>
      <c r="C26" s="187">
        <v>1</v>
      </c>
      <c r="D26" s="256">
        <f>6700*1.4</f>
        <v>9380</v>
      </c>
      <c r="E26" s="256"/>
      <c r="F26" s="256"/>
      <c r="G26" s="256"/>
      <c r="H26" s="256"/>
      <c r="I26" s="256"/>
      <c r="J26" s="256"/>
      <c r="K26" s="256">
        <f t="shared" si="2"/>
        <v>9380</v>
      </c>
      <c r="L26" s="256"/>
      <c r="M26" s="256"/>
      <c r="N26" s="256"/>
      <c r="O26" s="256"/>
      <c r="P26" s="256"/>
      <c r="Q26" s="256"/>
      <c r="R26" s="258">
        <f t="shared" si="3"/>
        <v>9380</v>
      </c>
      <c r="S26" s="259">
        <v>4</v>
      </c>
      <c r="T26" s="55"/>
      <c r="U26" s="55"/>
      <c r="V26" s="55"/>
    </row>
    <row r="27" spans="1:22" ht="31.5" customHeight="1">
      <c r="A27" s="253">
        <v>6</v>
      </c>
      <c r="B27" s="254" t="s">
        <v>95</v>
      </c>
      <c r="C27" s="187">
        <v>0.5</v>
      </c>
      <c r="D27" s="256">
        <f>6700*1</f>
        <v>6700</v>
      </c>
      <c r="E27" s="256"/>
      <c r="F27" s="256"/>
      <c r="G27" s="256"/>
      <c r="H27" s="256"/>
      <c r="I27" s="256"/>
      <c r="J27" s="256"/>
      <c r="K27" s="256">
        <f t="shared" si="2"/>
        <v>6700</v>
      </c>
      <c r="L27" s="256"/>
      <c r="M27" s="256"/>
      <c r="N27" s="256"/>
      <c r="O27" s="256"/>
      <c r="P27" s="256">
        <f>2893*10%</f>
        <v>289.3</v>
      </c>
      <c r="Q27" s="256"/>
      <c r="R27" s="258">
        <f>SUM(K27:P27)*C27</f>
        <v>3494.65</v>
      </c>
      <c r="S27" s="259">
        <v>1</v>
      </c>
      <c r="T27" s="55"/>
      <c r="U27" s="55"/>
      <c r="V27" s="55"/>
    </row>
    <row r="28" spans="1:22" ht="19.5" customHeight="1" hidden="1">
      <c r="A28" s="253"/>
      <c r="B28" s="254"/>
      <c r="C28" s="187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8"/>
      <c r="S28" s="259"/>
      <c r="T28" s="55"/>
      <c r="U28" s="55"/>
      <c r="V28" s="55"/>
    </row>
    <row r="29" spans="1:22" ht="48" customHeight="1" hidden="1">
      <c r="A29" s="253">
        <v>8</v>
      </c>
      <c r="B29" s="254" t="s">
        <v>110</v>
      </c>
      <c r="C29" s="187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8"/>
      <c r="S29" s="259"/>
      <c r="T29" s="55"/>
      <c r="U29" s="55"/>
      <c r="V29" s="55"/>
    </row>
    <row r="30" spans="1:22" ht="79.5" customHeight="1">
      <c r="A30" s="253">
        <v>7</v>
      </c>
      <c r="B30" s="254" t="s">
        <v>203</v>
      </c>
      <c r="C30" s="187">
        <v>1</v>
      </c>
      <c r="D30" s="256">
        <f>6700*1</f>
        <v>6700</v>
      </c>
      <c r="E30" s="256"/>
      <c r="F30" s="256"/>
      <c r="G30" s="256"/>
      <c r="H30" s="256"/>
      <c r="I30" s="256"/>
      <c r="J30" s="256"/>
      <c r="K30" s="256">
        <f t="shared" si="2"/>
        <v>6700</v>
      </c>
      <c r="L30" s="256"/>
      <c r="M30" s="256"/>
      <c r="N30" s="256"/>
      <c r="O30" s="256">
        <f>3934*12%</f>
        <v>472.08</v>
      </c>
      <c r="P30" s="256"/>
      <c r="Q30" s="256"/>
      <c r="R30" s="258">
        <f>SUM(K30:P30)*C30</f>
        <v>7172.08</v>
      </c>
      <c r="S30" s="259">
        <v>5</v>
      </c>
      <c r="T30" s="55"/>
      <c r="U30" s="55"/>
      <c r="V30" s="55"/>
    </row>
    <row r="31" spans="1:22" ht="19.5" customHeight="1">
      <c r="A31" s="253">
        <v>8</v>
      </c>
      <c r="B31" s="254" t="s">
        <v>14</v>
      </c>
      <c r="C31" s="187">
        <v>1</v>
      </c>
      <c r="D31" s="255">
        <f>6700*2</f>
        <v>13400</v>
      </c>
      <c r="E31" s="256"/>
      <c r="F31" s="256"/>
      <c r="G31" s="256"/>
      <c r="H31" s="256"/>
      <c r="I31" s="256"/>
      <c r="J31" s="256"/>
      <c r="K31" s="257">
        <f t="shared" si="2"/>
        <v>13400</v>
      </c>
      <c r="L31" s="256"/>
      <c r="M31" s="256"/>
      <c r="N31" s="256"/>
      <c r="O31" s="256"/>
      <c r="P31" s="256"/>
      <c r="Q31" s="256"/>
      <c r="R31" s="258">
        <f t="shared" si="3"/>
        <v>13400</v>
      </c>
      <c r="S31" s="259">
        <v>10</v>
      </c>
      <c r="T31" s="55"/>
      <c r="U31" s="55"/>
      <c r="V31" s="55"/>
    </row>
    <row r="32" spans="1:22" ht="31.5" customHeight="1">
      <c r="A32" s="253">
        <v>9</v>
      </c>
      <c r="B32" s="254" t="s">
        <v>92</v>
      </c>
      <c r="C32" s="187">
        <v>0.5</v>
      </c>
      <c r="D32" s="255">
        <f>6700*1.4</f>
        <v>9380</v>
      </c>
      <c r="E32" s="256"/>
      <c r="F32" s="256"/>
      <c r="G32" s="256"/>
      <c r="H32" s="256"/>
      <c r="I32" s="256"/>
      <c r="J32" s="256"/>
      <c r="K32" s="257">
        <f t="shared" si="2"/>
        <v>9380</v>
      </c>
      <c r="L32" s="256"/>
      <c r="M32" s="256"/>
      <c r="N32" s="256"/>
      <c r="O32" s="256"/>
      <c r="P32" s="256"/>
      <c r="Q32" s="256"/>
      <c r="R32" s="258">
        <f t="shared" si="3"/>
        <v>4690</v>
      </c>
      <c r="S32" s="259">
        <v>7</v>
      </c>
      <c r="T32" s="55"/>
      <c r="U32" s="55"/>
      <c r="V32" s="55"/>
    </row>
    <row r="33" spans="1:22" ht="31.5" customHeight="1">
      <c r="A33" s="253">
        <v>10</v>
      </c>
      <c r="B33" s="254" t="s">
        <v>218</v>
      </c>
      <c r="C33" s="187">
        <v>0.5</v>
      </c>
      <c r="D33" s="255">
        <f>6700*1.4</f>
        <v>9380</v>
      </c>
      <c r="E33" s="256"/>
      <c r="F33" s="256"/>
      <c r="G33" s="256"/>
      <c r="H33" s="256"/>
      <c r="I33" s="256"/>
      <c r="J33" s="256"/>
      <c r="K33" s="257">
        <f t="shared" si="2"/>
        <v>9380</v>
      </c>
      <c r="L33" s="256"/>
      <c r="M33" s="256"/>
      <c r="N33" s="256"/>
      <c r="O33" s="256"/>
      <c r="P33" s="256"/>
      <c r="Q33" s="256"/>
      <c r="R33" s="258">
        <f t="shared" si="3"/>
        <v>4690</v>
      </c>
      <c r="S33" s="259">
        <v>7</v>
      </c>
      <c r="T33" s="55"/>
      <c r="U33" s="55"/>
      <c r="V33" s="55"/>
    </row>
    <row r="34" spans="1:22" ht="31.5" customHeight="1">
      <c r="A34" s="253">
        <v>11</v>
      </c>
      <c r="B34" s="167" t="s">
        <v>105</v>
      </c>
      <c r="C34" s="187">
        <v>1</v>
      </c>
      <c r="D34" s="255">
        <f>6700*2</f>
        <v>13400</v>
      </c>
      <c r="E34" s="256"/>
      <c r="F34" s="256"/>
      <c r="G34" s="256"/>
      <c r="H34" s="256"/>
      <c r="I34" s="256"/>
      <c r="J34" s="256"/>
      <c r="K34" s="257">
        <f t="shared" si="2"/>
        <v>13400</v>
      </c>
      <c r="L34" s="256"/>
      <c r="M34" s="256"/>
      <c r="N34" s="256"/>
      <c r="O34" s="256"/>
      <c r="P34" s="256"/>
      <c r="Q34" s="256"/>
      <c r="R34" s="258">
        <f t="shared" si="3"/>
        <v>13400</v>
      </c>
      <c r="S34" s="259">
        <v>9</v>
      </c>
      <c r="T34" s="55"/>
      <c r="U34" s="55"/>
      <c r="V34" s="55"/>
    </row>
    <row r="35" spans="1:22" s="485" customFormat="1" ht="63.75" customHeight="1">
      <c r="A35" s="498">
        <v>12</v>
      </c>
      <c r="B35" s="345" t="s">
        <v>106</v>
      </c>
      <c r="C35" s="188">
        <v>1</v>
      </c>
      <c r="D35" s="347">
        <f>6700*1.4</f>
        <v>9380</v>
      </c>
      <c r="E35" s="258"/>
      <c r="F35" s="258"/>
      <c r="G35" s="258"/>
      <c r="H35" s="258"/>
      <c r="I35" s="258"/>
      <c r="J35" s="258"/>
      <c r="K35" s="257">
        <f t="shared" si="2"/>
        <v>9380</v>
      </c>
      <c r="L35" s="258"/>
      <c r="M35" s="258"/>
      <c r="N35" s="258"/>
      <c r="O35" s="258"/>
      <c r="P35" s="258"/>
      <c r="Q35" s="258"/>
      <c r="R35" s="258">
        <f t="shared" si="3"/>
        <v>9380</v>
      </c>
      <c r="S35" s="346">
        <v>7</v>
      </c>
      <c r="T35" s="484"/>
      <c r="U35" s="484"/>
      <c r="V35" s="484"/>
    </row>
    <row r="36" spans="1:22" ht="19.5" customHeight="1">
      <c r="A36" s="498">
        <v>13</v>
      </c>
      <c r="B36" s="345" t="s">
        <v>256</v>
      </c>
      <c r="C36" s="188">
        <v>1</v>
      </c>
      <c r="D36" s="347">
        <f>6700*1.4</f>
        <v>9380</v>
      </c>
      <c r="E36" s="258"/>
      <c r="F36" s="258"/>
      <c r="G36" s="258"/>
      <c r="H36" s="258"/>
      <c r="I36" s="258"/>
      <c r="J36" s="258"/>
      <c r="K36" s="257">
        <f t="shared" si="2"/>
        <v>9380</v>
      </c>
      <c r="L36" s="258"/>
      <c r="M36" s="258"/>
      <c r="N36" s="258"/>
      <c r="O36" s="258"/>
      <c r="P36" s="258"/>
      <c r="Q36" s="258"/>
      <c r="R36" s="258">
        <f t="shared" si="3"/>
        <v>9380</v>
      </c>
      <c r="S36" s="346">
        <v>7</v>
      </c>
      <c r="T36" s="55"/>
      <c r="U36" s="55"/>
      <c r="V36" s="55"/>
    </row>
    <row r="37" spans="1:22" ht="19.5" customHeight="1">
      <c r="A37" s="498">
        <v>14</v>
      </c>
      <c r="B37" s="345" t="s">
        <v>240</v>
      </c>
      <c r="C37" s="188">
        <f>1</f>
        <v>1</v>
      </c>
      <c r="D37" s="347">
        <f>6700*1</f>
        <v>6700</v>
      </c>
      <c r="E37" s="258"/>
      <c r="F37" s="258"/>
      <c r="G37" s="258"/>
      <c r="H37" s="258"/>
      <c r="I37" s="258"/>
      <c r="J37" s="258"/>
      <c r="K37" s="257">
        <f t="shared" si="2"/>
        <v>6700</v>
      </c>
      <c r="L37" s="258"/>
      <c r="M37" s="258"/>
      <c r="N37" s="258"/>
      <c r="O37" s="258"/>
      <c r="P37" s="258"/>
      <c r="Q37" s="258"/>
      <c r="R37" s="258">
        <f t="shared" si="3"/>
        <v>6700</v>
      </c>
      <c r="S37" s="346">
        <v>10</v>
      </c>
      <c r="T37" s="55"/>
      <c r="U37" s="55"/>
      <c r="V37" s="55"/>
    </row>
    <row r="38" spans="1:22" ht="19.5" customHeight="1">
      <c r="A38" s="498">
        <v>15</v>
      </c>
      <c r="B38" s="488" t="s">
        <v>271</v>
      </c>
      <c r="C38" s="188">
        <v>0.5</v>
      </c>
      <c r="D38" s="258">
        <f>6700*1</f>
        <v>6700</v>
      </c>
      <c r="E38" s="499"/>
      <c r="F38" s="499"/>
      <c r="G38" s="499"/>
      <c r="H38" s="258"/>
      <c r="I38" s="499"/>
      <c r="J38" s="499"/>
      <c r="K38" s="258">
        <f t="shared" si="2"/>
        <v>6700</v>
      </c>
      <c r="L38" s="499"/>
      <c r="M38" s="499"/>
      <c r="N38" s="499"/>
      <c r="O38" s="499"/>
      <c r="P38" s="499"/>
      <c r="Q38" s="499"/>
      <c r="R38" s="258">
        <f>SUM(K38:P38)*C38</f>
        <v>3350</v>
      </c>
      <c r="S38" s="346">
        <v>7</v>
      </c>
      <c r="T38" s="55"/>
      <c r="U38" s="55"/>
      <c r="V38" s="55"/>
    </row>
    <row r="39" spans="1:22" ht="19.5" customHeight="1">
      <c r="A39" s="253">
        <v>16</v>
      </c>
      <c r="B39" s="293" t="s">
        <v>94</v>
      </c>
      <c r="C39" s="187">
        <v>0.5</v>
      </c>
      <c r="D39" s="256">
        <f>6700*1</f>
        <v>6700</v>
      </c>
      <c r="E39" s="314"/>
      <c r="F39" s="314"/>
      <c r="G39" s="314"/>
      <c r="H39" s="315"/>
      <c r="I39" s="314"/>
      <c r="J39" s="314"/>
      <c r="K39" s="256">
        <f t="shared" si="2"/>
        <v>6700</v>
      </c>
      <c r="L39" s="314"/>
      <c r="M39" s="314"/>
      <c r="N39" s="314"/>
      <c r="O39" s="314"/>
      <c r="P39" s="314"/>
      <c r="Q39" s="314"/>
      <c r="R39" s="258">
        <f>SUM(K39:P39)*C39</f>
        <v>3350</v>
      </c>
      <c r="S39" s="259">
        <v>5</v>
      </c>
      <c r="T39" s="55"/>
      <c r="U39" s="55"/>
      <c r="V39" s="55"/>
    </row>
    <row r="40" spans="1:22" ht="18.75" customHeight="1" hidden="1">
      <c r="A40" s="253">
        <v>18</v>
      </c>
      <c r="B40" s="293" t="s">
        <v>191</v>
      </c>
      <c r="C40" s="187"/>
      <c r="D40" s="256"/>
      <c r="E40" s="314"/>
      <c r="F40" s="314"/>
      <c r="G40" s="314"/>
      <c r="H40" s="315"/>
      <c r="I40" s="314"/>
      <c r="J40" s="314"/>
      <c r="K40" s="256"/>
      <c r="L40" s="314"/>
      <c r="M40" s="314"/>
      <c r="N40" s="314"/>
      <c r="O40" s="314"/>
      <c r="P40" s="314"/>
      <c r="Q40" s="314"/>
      <c r="R40" s="258"/>
      <c r="S40" s="259"/>
      <c r="T40" s="55"/>
      <c r="U40" s="55"/>
      <c r="V40" s="55"/>
    </row>
    <row r="41" spans="1:22" ht="33.75" customHeight="1" hidden="1">
      <c r="A41" s="253">
        <v>19</v>
      </c>
      <c r="B41" s="168" t="s">
        <v>95</v>
      </c>
      <c r="C41" s="187"/>
      <c r="D41" s="256"/>
      <c r="E41" s="314"/>
      <c r="F41" s="314"/>
      <c r="G41" s="314"/>
      <c r="H41" s="315"/>
      <c r="I41" s="314"/>
      <c r="J41" s="314"/>
      <c r="K41" s="256"/>
      <c r="L41" s="314"/>
      <c r="M41" s="314"/>
      <c r="N41" s="314"/>
      <c r="O41" s="314"/>
      <c r="P41" s="256"/>
      <c r="Q41" s="256"/>
      <c r="R41" s="258"/>
      <c r="S41" s="259"/>
      <c r="T41" s="55"/>
      <c r="U41" s="55"/>
      <c r="V41" s="55"/>
    </row>
    <row r="42" spans="1:22" ht="19.5" customHeight="1">
      <c r="A42" s="316"/>
      <c r="B42" s="194" t="s">
        <v>78</v>
      </c>
      <c r="C42" s="190">
        <f>SUM(C22:C41)</f>
        <v>12</v>
      </c>
      <c r="D42" s="317"/>
      <c r="E42" s="317"/>
      <c r="F42" s="317"/>
      <c r="G42" s="317"/>
      <c r="H42" s="318"/>
      <c r="I42" s="317"/>
      <c r="J42" s="317"/>
      <c r="K42" s="317"/>
      <c r="L42" s="317"/>
      <c r="M42" s="317"/>
      <c r="N42" s="317"/>
      <c r="O42" s="317"/>
      <c r="P42" s="317"/>
      <c r="Q42" s="317"/>
      <c r="R42" s="306">
        <f>R22+R23+R24+R25+R26+R27+R28+R30+R31+R32+R33+R34+R35+R36+R38+R39+R37</f>
        <v>111836.73000000001</v>
      </c>
      <c r="S42" s="259"/>
      <c r="T42" s="55"/>
      <c r="U42" s="55"/>
      <c r="V42" s="55"/>
    </row>
    <row r="43" spans="1:22" ht="18.75" customHeight="1">
      <c r="A43" s="41"/>
      <c r="B43" s="4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40"/>
      <c r="S43" s="40"/>
      <c r="T43" s="55"/>
      <c r="U43" s="55"/>
      <c r="V43" s="55"/>
    </row>
    <row r="44" spans="1:22" ht="18">
      <c r="A44" s="18"/>
      <c r="B44" s="1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8"/>
      <c r="S44" s="18"/>
      <c r="T44" s="55"/>
      <c r="U44" s="55"/>
      <c r="V44" s="55"/>
    </row>
    <row r="45" spans="1:22" ht="16.5" customHeight="1">
      <c r="A45" s="7"/>
      <c r="B45" s="12"/>
      <c r="C45" s="11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42"/>
      <c r="S45" s="40"/>
      <c r="T45" s="55"/>
      <c r="U45" s="55"/>
      <c r="V45" s="55"/>
    </row>
    <row r="46" spans="1:22" ht="15.75" customHeight="1">
      <c r="A46" s="40"/>
      <c r="B46" s="70"/>
      <c r="C46" s="94"/>
      <c r="D46" s="94"/>
      <c r="E46" s="94"/>
      <c r="F46" s="609" t="s">
        <v>196</v>
      </c>
      <c r="G46" s="609"/>
      <c r="H46" s="609"/>
      <c r="I46" s="609"/>
      <c r="J46" s="609"/>
      <c r="K46" s="609"/>
      <c r="L46" s="609"/>
      <c r="M46" s="93"/>
      <c r="N46" s="93"/>
      <c r="O46" s="93"/>
      <c r="P46" s="93"/>
      <c r="Q46" s="93"/>
      <c r="R46" s="40"/>
      <c r="S46" s="40"/>
      <c r="T46" s="55"/>
      <c r="U46" s="55"/>
      <c r="V46" s="55"/>
    </row>
    <row r="47" spans="1:22" s="122" customFormat="1" ht="19.5" customHeight="1">
      <c r="A47" s="487">
        <v>1</v>
      </c>
      <c r="B47" s="488" t="s">
        <v>219</v>
      </c>
      <c r="C47" s="536">
        <f>1-0.25</f>
        <v>0.75</v>
      </c>
      <c r="D47" s="365">
        <f>6567</f>
        <v>6567</v>
      </c>
      <c r="E47" s="365"/>
      <c r="F47" s="489"/>
      <c r="G47" s="489"/>
      <c r="H47" s="489"/>
      <c r="I47" s="489"/>
      <c r="J47" s="489"/>
      <c r="K47" s="366">
        <f>SUM(D47:J47)</f>
        <v>6567</v>
      </c>
      <c r="L47" s="489"/>
      <c r="M47" s="489"/>
      <c r="N47" s="295">
        <f>K47*30%</f>
        <v>1970.1</v>
      </c>
      <c r="O47" s="489"/>
      <c r="P47" s="489"/>
      <c r="Q47" s="489">
        <f>15000-(D47+N47)*C47</f>
        <v>8597.175</v>
      </c>
      <c r="R47" s="364">
        <f>SUM(K47:P47)*C47+Q47</f>
        <v>15000</v>
      </c>
      <c r="S47" s="490">
        <v>13</v>
      </c>
      <c r="T47" s="121"/>
      <c r="U47" s="121"/>
      <c r="V47" s="121"/>
    </row>
    <row r="48" spans="1:22" ht="18.75" customHeight="1" hidden="1">
      <c r="A48" s="319">
        <v>2</v>
      </c>
      <c r="B48" s="170" t="s">
        <v>190</v>
      </c>
      <c r="C48" s="183"/>
      <c r="D48" s="182"/>
      <c r="E48" s="182"/>
      <c r="F48" s="320"/>
      <c r="G48" s="320"/>
      <c r="H48" s="320"/>
      <c r="I48" s="320"/>
      <c r="J48" s="320"/>
      <c r="K48" s="321"/>
      <c r="L48" s="320"/>
      <c r="M48" s="320"/>
      <c r="N48" s="295">
        <f>K48*30%</f>
        <v>0</v>
      </c>
      <c r="O48" s="320"/>
      <c r="P48" s="320"/>
      <c r="Q48" s="489">
        <f>20000-(D48+N48)*C48</f>
        <v>20000</v>
      </c>
      <c r="R48" s="322"/>
      <c r="S48" s="323"/>
      <c r="T48" s="55"/>
      <c r="U48" s="55"/>
      <c r="V48" s="55"/>
    </row>
    <row r="49" spans="1:22" ht="19.5" customHeight="1">
      <c r="A49" s="319">
        <v>2</v>
      </c>
      <c r="B49" s="170" t="s">
        <v>228</v>
      </c>
      <c r="C49" s="183">
        <f>2-1</f>
        <v>1</v>
      </c>
      <c r="D49" s="322">
        <f>6700*1.5</f>
        <v>10050</v>
      </c>
      <c r="E49" s="322"/>
      <c r="F49" s="322"/>
      <c r="G49" s="322"/>
      <c r="H49" s="322"/>
      <c r="I49" s="322"/>
      <c r="J49" s="322"/>
      <c r="K49" s="321">
        <f>SUM(D49:J49)</f>
        <v>10050</v>
      </c>
      <c r="L49" s="322"/>
      <c r="M49" s="322"/>
      <c r="N49" s="295"/>
      <c r="O49" s="322"/>
      <c r="P49" s="322"/>
      <c r="Q49" s="489">
        <f>13500-(D49+N49)*C49</f>
        <v>3450</v>
      </c>
      <c r="R49" s="322">
        <f>SUM(K49:P49)*C49+Q49</f>
        <v>13500</v>
      </c>
      <c r="S49" s="324">
        <v>10</v>
      </c>
      <c r="T49" s="55"/>
      <c r="U49" s="55"/>
      <c r="V49" s="55"/>
    </row>
    <row r="50" spans="1:22" ht="19.5" customHeight="1">
      <c r="A50" s="319">
        <v>3</v>
      </c>
      <c r="B50" s="171" t="s">
        <v>111</v>
      </c>
      <c r="C50" s="325">
        <v>0.25</v>
      </c>
      <c r="D50" s="322">
        <f>6700*1</f>
        <v>6700</v>
      </c>
      <c r="E50" s="322"/>
      <c r="F50" s="322"/>
      <c r="G50" s="322"/>
      <c r="H50" s="322"/>
      <c r="I50" s="322"/>
      <c r="J50" s="322"/>
      <c r="K50" s="321">
        <f>SUM(D50:J50)</f>
        <v>6700</v>
      </c>
      <c r="L50" s="322"/>
      <c r="M50" s="322"/>
      <c r="N50" s="322"/>
      <c r="O50" s="322"/>
      <c r="P50" s="322"/>
      <c r="Q50" s="322"/>
      <c r="R50" s="322">
        <f>SUM(K50:P50)*C50</f>
        <v>1675</v>
      </c>
      <c r="S50" s="324">
        <v>5</v>
      </c>
      <c r="T50" s="55"/>
      <c r="U50" s="55"/>
      <c r="V50" s="55"/>
    </row>
    <row r="51" spans="1:22" ht="19.5" customHeight="1">
      <c r="A51" s="326"/>
      <c r="B51" s="194" t="s">
        <v>78</v>
      </c>
      <c r="C51" s="305">
        <f>SUM(C47:C50)</f>
        <v>2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>
        <f>R47+R49+R50</f>
        <v>30175</v>
      </c>
      <c r="S51" s="328"/>
      <c r="T51" s="55"/>
      <c r="U51" s="55"/>
      <c r="V51" s="55"/>
    </row>
    <row r="52" spans="1:22" ht="19.5" customHeight="1">
      <c r="A52" s="326"/>
      <c r="B52" s="194" t="s">
        <v>50</v>
      </c>
      <c r="C52" s="327">
        <f>C47</f>
        <v>0.75</v>
      </c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>
        <f>R47</f>
        <v>15000</v>
      </c>
      <c r="S52" s="328"/>
      <c r="T52" s="55"/>
      <c r="U52" s="55"/>
      <c r="V52" s="55"/>
    </row>
    <row r="53" spans="1:19" ht="19.5" customHeight="1">
      <c r="A53" s="329"/>
      <c r="B53" s="102" t="s">
        <v>126</v>
      </c>
      <c r="C53" s="311">
        <f>C49</f>
        <v>1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>
        <f>R49</f>
        <v>13500</v>
      </c>
      <c r="S53" s="330"/>
    </row>
    <row r="54" spans="1:19" ht="19.5" customHeight="1">
      <c r="A54" s="331"/>
      <c r="B54" s="102" t="s">
        <v>49</v>
      </c>
      <c r="C54" s="332">
        <f>C50</f>
        <v>0.25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>
        <f>R50</f>
        <v>1675</v>
      </c>
      <c r="S54" s="330"/>
    </row>
    <row r="55" spans="1:19" ht="15.75" customHeight="1">
      <c r="A55" s="169"/>
      <c r="B55" s="63"/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4"/>
      <c r="S55" s="40"/>
    </row>
    <row r="56" spans="1:19" ht="15.75" customHeight="1">
      <c r="A56" s="40"/>
      <c r="B56" s="3"/>
      <c r="C56" s="3"/>
      <c r="D56" s="47"/>
      <c r="E56" s="3"/>
      <c r="F56" s="47"/>
      <c r="G56" s="3"/>
      <c r="H56" s="3"/>
      <c r="I56" s="3"/>
      <c r="J56" s="3"/>
      <c r="K56" s="3"/>
      <c r="L56" s="3"/>
      <c r="M56" s="3"/>
      <c r="N56" s="3"/>
      <c r="O56" s="3"/>
      <c r="P56" s="47"/>
      <c r="Q56" s="47"/>
      <c r="R56" s="47"/>
      <c r="S56" s="3"/>
    </row>
    <row r="57" spans="1:25" ht="19.5" customHeight="1">
      <c r="A57" s="13"/>
      <c r="B57" s="333" t="s">
        <v>131</v>
      </c>
      <c r="C57" s="334">
        <f>C14+C42+C51</f>
        <v>19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337">
        <f>R14+R42+R51</f>
        <v>230108.73</v>
      </c>
      <c r="S57" s="3"/>
      <c r="T57" s="55"/>
      <c r="U57" s="55"/>
      <c r="V57" s="55"/>
      <c r="W57" s="55"/>
      <c r="X57" s="55"/>
      <c r="Y57" s="55"/>
    </row>
    <row r="58" spans="1:19" ht="19.5" customHeight="1">
      <c r="A58" s="13"/>
      <c r="B58" s="333" t="s">
        <v>50</v>
      </c>
      <c r="C58" s="336">
        <f>C15+C47</f>
        <v>1.75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338">
        <f>R15+R52</f>
        <v>38517</v>
      </c>
      <c r="S58" s="3"/>
    </row>
    <row r="59" spans="1:19" ht="19.5" customHeight="1">
      <c r="A59" s="13"/>
      <c r="B59" s="333" t="s">
        <v>126</v>
      </c>
      <c r="C59" s="334">
        <f>C16+C53</f>
        <v>2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337">
        <f>R16+R53</f>
        <v>27000</v>
      </c>
      <c r="S59" s="3"/>
    </row>
    <row r="60" spans="1:19" ht="19.5" customHeight="1">
      <c r="A60" s="13"/>
      <c r="B60" s="335" t="s">
        <v>21</v>
      </c>
      <c r="C60" s="336">
        <f>C17+C42+C54</f>
        <v>15.25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338">
        <f>R17+R42+R54</f>
        <v>164591.73</v>
      </c>
      <c r="S60" s="3"/>
    </row>
    <row r="61" spans="1:19" ht="19.5" customHeight="1">
      <c r="A61" s="3"/>
      <c r="B61" s="4"/>
      <c r="C61" s="6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8"/>
      <c r="S61" s="3"/>
    </row>
    <row r="62" spans="1:19" ht="18" customHeight="1">
      <c r="A62" s="46"/>
      <c r="B62" s="95"/>
      <c r="C62" s="95"/>
      <c r="D62" s="95"/>
      <c r="E62" s="9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8"/>
      <c r="S62" s="3"/>
    </row>
    <row r="63" spans="1:19" ht="17.25" customHeight="1">
      <c r="A63" s="46"/>
      <c r="B63" s="95"/>
      <c r="C63" s="95"/>
      <c r="D63" s="95"/>
      <c r="E63" s="172" t="s">
        <v>104</v>
      </c>
      <c r="F63" s="173"/>
      <c r="G63" s="173"/>
      <c r="H63" s="173"/>
      <c r="I63" s="173"/>
      <c r="J63" s="173"/>
      <c r="K63" s="172" t="s">
        <v>227</v>
      </c>
      <c r="L63" s="173"/>
      <c r="M63" s="124"/>
      <c r="N63" s="124"/>
      <c r="O63" s="3"/>
      <c r="P63" s="3"/>
      <c r="Q63" s="3"/>
      <c r="R63" s="58"/>
      <c r="S63" s="3"/>
    </row>
    <row r="64" spans="1:19" ht="15" customHeight="1">
      <c r="A64" s="46"/>
      <c r="B64" s="95"/>
      <c r="C64" s="95"/>
      <c r="D64" s="95"/>
      <c r="E64" s="174"/>
      <c r="F64" s="173"/>
      <c r="G64" s="173"/>
      <c r="H64" s="173"/>
      <c r="I64" s="173"/>
      <c r="J64" s="173"/>
      <c r="K64" s="173"/>
      <c r="L64" s="173"/>
      <c r="M64" s="124"/>
      <c r="N64" s="124"/>
      <c r="O64" s="3"/>
      <c r="P64" s="3"/>
      <c r="Q64" s="3"/>
      <c r="R64" s="58"/>
      <c r="S64" s="3"/>
    </row>
    <row r="65" spans="1:19" ht="15" customHeight="1">
      <c r="A65" s="46"/>
      <c r="B65" s="95"/>
      <c r="C65" s="95"/>
      <c r="D65" s="95"/>
      <c r="E65" s="172" t="s">
        <v>77</v>
      </c>
      <c r="F65" s="173"/>
      <c r="G65" s="173"/>
      <c r="H65" s="173"/>
      <c r="I65" s="173"/>
      <c r="J65" s="173"/>
      <c r="K65" s="172" t="s">
        <v>226</v>
      </c>
      <c r="L65" s="173"/>
      <c r="M65" s="124"/>
      <c r="N65" s="124"/>
      <c r="O65" s="40"/>
      <c r="P65" s="40"/>
      <c r="Q65" s="40"/>
      <c r="R65" s="40"/>
      <c r="S65" s="40"/>
    </row>
    <row r="66" spans="1:19" ht="15" customHeight="1">
      <c r="A66" s="47"/>
      <c r="B66" s="95"/>
      <c r="C66" s="95"/>
      <c r="D66" s="95"/>
      <c r="E66" s="95"/>
      <c r="F66" s="32"/>
      <c r="G66" s="32"/>
      <c r="H66" s="32"/>
      <c r="I66" s="32"/>
      <c r="J66" s="32"/>
      <c r="K66" s="32"/>
      <c r="L66" s="32"/>
      <c r="M66" s="32"/>
      <c r="N66" s="40"/>
      <c r="O66" s="40"/>
      <c r="P66" s="40"/>
      <c r="Q66" s="40"/>
      <c r="R66" s="40"/>
      <c r="S66" s="40"/>
    </row>
    <row r="67" spans="1:19" ht="16.5">
      <c r="A67" s="47"/>
      <c r="B67" s="49"/>
      <c r="C67" s="32"/>
      <c r="D67" s="32"/>
      <c r="E67" s="32"/>
      <c r="F67" s="32"/>
      <c r="G67" s="32"/>
      <c r="H67" s="32"/>
      <c r="I67" s="56"/>
      <c r="J67" s="32"/>
      <c r="K67" s="32"/>
      <c r="L67" s="32"/>
      <c r="M67" s="32"/>
      <c r="N67" s="40"/>
      <c r="O67" s="40"/>
      <c r="P67" s="40"/>
      <c r="Q67" s="40"/>
      <c r="R67" s="40"/>
      <c r="S67" s="40"/>
    </row>
    <row r="68" ht="15.75">
      <c r="A68" s="47"/>
    </row>
    <row r="69" ht="15.75">
      <c r="A69" s="47"/>
    </row>
    <row r="70" spans="1:20" ht="15.75">
      <c r="A70" s="47"/>
      <c r="T70" s="55"/>
    </row>
    <row r="71" ht="15.75">
      <c r="A71" s="2"/>
    </row>
    <row r="72" ht="18.75">
      <c r="A72" s="8"/>
    </row>
    <row r="73" ht="18.75">
      <c r="A73" s="8"/>
    </row>
    <row r="74" spans="1:21" ht="18.75">
      <c r="A74" s="8"/>
      <c r="D74" s="251">
        <f>D8+D9+D10+D12+D13+D22*C22+D23*C23+D24+D25*C25+D26+D27+D28+D30+D31+D32*C32+D33*C33+D34+D35+D36+D38*C38+D39+D47+D49*C49+D50*C50+D37</f>
        <v>213842</v>
      </c>
      <c r="F74" s="251"/>
      <c r="G74" s="251">
        <f>G8+G9+G12</f>
        <v>0</v>
      </c>
      <c r="H74" s="251"/>
      <c r="I74" s="251"/>
      <c r="J74" s="251"/>
      <c r="K74" s="251"/>
      <c r="L74" s="251"/>
      <c r="M74" s="251">
        <f>M28</f>
        <v>0</v>
      </c>
      <c r="N74" s="251">
        <f>N8+N9+N12+N47+N49</f>
        <v>10997.1</v>
      </c>
      <c r="O74" s="251">
        <f>O30</f>
        <v>472.08</v>
      </c>
      <c r="P74" s="251">
        <f>P27</f>
        <v>289.3</v>
      </c>
      <c r="Q74" s="251">
        <f>Q12+Q47+Q49</f>
        <v>13487.175</v>
      </c>
      <c r="R74" s="251"/>
      <c r="S74" s="251"/>
      <c r="T74" s="11"/>
      <c r="U74" s="11"/>
    </row>
  </sheetData>
  <sheetProtection/>
  <autoFilter ref="S1:S74"/>
  <mergeCells count="16">
    <mergeCell ref="O1:Q1"/>
    <mergeCell ref="F46:L46"/>
    <mergeCell ref="A19:S19"/>
    <mergeCell ref="K1:K2"/>
    <mergeCell ref="R1:R2"/>
    <mergeCell ref="A20:S20"/>
    <mergeCell ref="A4:S4"/>
    <mergeCell ref="A5:S5"/>
    <mergeCell ref="A6:S6"/>
    <mergeCell ref="S1:S2"/>
    <mergeCell ref="E1:J1"/>
    <mergeCell ref="L1:N1"/>
    <mergeCell ref="A1:A2"/>
    <mergeCell ref="B1:B2"/>
    <mergeCell ref="C1:C2"/>
    <mergeCell ref="D1:D2"/>
  </mergeCells>
  <printOptions/>
  <pageMargins left="0.1968503937007874" right="0.1968503937007874" top="0.1968503937007874" bottom="0.1968503937007874" header="0.1968503937007874" footer="0.1968503937007874"/>
  <pageSetup fitToHeight="2" horizontalDpi="300" verticalDpi="300" orientation="landscape" paperSize="9" scale="66" r:id="rId1"/>
  <rowBreaks count="1" manualBreakCount="1">
    <brk id="3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9966"/>
  </sheetPr>
  <dimension ref="A1:Z81"/>
  <sheetViews>
    <sheetView view="pageBreakPreview" zoomScale="85" zoomScaleNormal="75" zoomScaleSheetLayoutView="85" zoomScalePageLayoutView="0" workbookViewId="0" topLeftCell="A13">
      <selection activeCell="C25" sqref="C25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3" width="10.25390625" style="0" customWidth="1"/>
    <col min="4" max="4" width="12.75390625" style="0" customWidth="1"/>
    <col min="5" max="5" width="9.375" style="0" customWidth="1"/>
    <col min="6" max="6" width="11.125" style="0" customWidth="1"/>
    <col min="7" max="7" width="9.125" style="0" customWidth="1"/>
    <col min="8" max="8" width="11.25390625" style="0" customWidth="1"/>
    <col min="9" max="9" width="9.125" style="0" customWidth="1"/>
    <col min="10" max="10" width="9.25390625" style="0" customWidth="1"/>
    <col min="11" max="11" width="11.125" style="0" customWidth="1"/>
    <col min="12" max="12" width="10.125" style="0" customWidth="1"/>
    <col min="13" max="13" width="9.125" style="0" customWidth="1"/>
    <col min="14" max="15" width="10.75390625" style="0" customWidth="1"/>
    <col min="16" max="16" width="10.375" style="0" customWidth="1"/>
    <col min="17" max="17" width="11.75390625" style="0" customWidth="1"/>
    <col min="18" max="18" width="14.25390625" style="96" customWidth="1"/>
    <col min="19" max="19" width="10.75390625" style="0" customWidth="1"/>
    <col min="20" max="20" width="11.125" style="0" customWidth="1"/>
    <col min="23" max="23" width="11.875" style="0" customWidth="1"/>
    <col min="24" max="24" width="11.375" style="0" customWidth="1"/>
    <col min="26" max="26" width="11.875" style="0" customWidth="1"/>
  </cols>
  <sheetData>
    <row r="1" spans="1:19" ht="15.75" customHeight="1">
      <c r="A1" s="607" t="s">
        <v>0</v>
      </c>
      <c r="B1" s="607" t="s">
        <v>1</v>
      </c>
      <c r="C1" s="607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74.25" customHeight="1">
      <c r="A2" s="608"/>
      <c r="B2" s="608"/>
      <c r="C2" s="608"/>
      <c r="D2" s="608"/>
      <c r="E2" s="50" t="s">
        <v>5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19" ht="15" customHeight="1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60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>
        <v>17</v>
      </c>
      <c r="R3" s="52">
        <v>18</v>
      </c>
      <c r="S3" s="52">
        <v>19</v>
      </c>
    </row>
    <row r="4" spans="1:25" ht="18" customHeight="1">
      <c r="A4" s="621" t="s">
        <v>102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55"/>
    </row>
    <row r="5" spans="1:25" ht="15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  <c r="Q5" s="52">
        <v>17</v>
      </c>
      <c r="R5" s="52">
        <v>18</v>
      </c>
      <c r="S5" s="52">
        <v>19</v>
      </c>
      <c r="Y5" s="55"/>
    </row>
    <row r="6" spans="1:25" ht="31.5" customHeight="1">
      <c r="A6" s="260">
        <v>1</v>
      </c>
      <c r="B6" s="254" t="s">
        <v>204</v>
      </c>
      <c r="C6" s="187">
        <v>1</v>
      </c>
      <c r="D6" s="256">
        <f>7001</f>
        <v>7001</v>
      </c>
      <c r="E6" s="256">
        <f>D6*15%</f>
        <v>1050.1499999999999</v>
      </c>
      <c r="F6" s="339"/>
      <c r="G6" s="255"/>
      <c r="H6" s="255"/>
      <c r="I6" s="255"/>
      <c r="J6" s="255"/>
      <c r="K6" s="256">
        <f aca="true" t="shared" si="0" ref="K6:K37">SUM(D6:J6)</f>
        <v>8051.15</v>
      </c>
      <c r="L6" s="255"/>
      <c r="M6" s="255"/>
      <c r="N6" s="255">
        <f>K6*30%</f>
        <v>2415.345</v>
      </c>
      <c r="O6" s="256"/>
      <c r="P6" s="256"/>
      <c r="Q6" s="256">
        <f>20000-(D6+E6+N6)*C6</f>
        <v>9533.505000000001</v>
      </c>
      <c r="R6" s="258">
        <f>SUM(K6:P6)*C6+Q6</f>
        <v>20000</v>
      </c>
      <c r="S6" s="259">
        <v>14</v>
      </c>
      <c r="Y6" s="55"/>
    </row>
    <row r="7" spans="1:25" ht="19.5" customHeight="1" hidden="1">
      <c r="A7" s="260">
        <v>2</v>
      </c>
      <c r="B7" s="254" t="s">
        <v>96</v>
      </c>
      <c r="C7" s="187"/>
      <c r="D7" s="256"/>
      <c r="E7" s="256"/>
      <c r="F7" s="339"/>
      <c r="G7" s="255"/>
      <c r="H7" s="255"/>
      <c r="I7" s="255"/>
      <c r="J7" s="255"/>
      <c r="K7" s="256"/>
      <c r="L7" s="255"/>
      <c r="M7" s="255"/>
      <c r="N7" s="255"/>
      <c r="O7" s="256"/>
      <c r="P7" s="256"/>
      <c r="Q7" s="256">
        <f>20000-(D7+E7+N7)*C7</f>
        <v>20000</v>
      </c>
      <c r="R7" s="258"/>
      <c r="S7" s="259"/>
      <c r="Y7" s="55"/>
    </row>
    <row r="8" spans="1:25" ht="19.5" customHeight="1">
      <c r="A8" s="260">
        <v>2</v>
      </c>
      <c r="B8" s="340" t="s">
        <v>155</v>
      </c>
      <c r="C8" s="341">
        <f>4-0.5</f>
        <v>3.5</v>
      </c>
      <c r="D8" s="256">
        <f>6567</f>
        <v>6567</v>
      </c>
      <c r="E8" s="315"/>
      <c r="F8" s="339"/>
      <c r="G8" s="342"/>
      <c r="H8" s="343"/>
      <c r="I8" s="343"/>
      <c r="J8" s="343"/>
      <c r="K8" s="256">
        <f t="shared" si="0"/>
        <v>6567</v>
      </c>
      <c r="L8" s="256"/>
      <c r="M8" s="343"/>
      <c r="N8" s="343">
        <f>K8*30%</f>
        <v>1970.1</v>
      </c>
      <c r="O8" s="315"/>
      <c r="P8" s="315"/>
      <c r="Q8" s="256">
        <f>70000-(D8+E8+N8)*C8</f>
        <v>40120.149999999994</v>
      </c>
      <c r="R8" s="258">
        <f>SUM(K8:P8)*C8+Q8</f>
        <v>70000</v>
      </c>
      <c r="S8" s="344">
        <v>13</v>
      </c>
      <c r="Y8" s="55"/>
    </row>
    <row r="9" spans="1:25" ht="19.5" customHeight="1">
      <c r="A9" s="260">
        <v>3</v>
      </c>
      <c r="B9" s="345" t="s">
        <v>209</v>
      </c>
      <c r="C9" s="188">
        <f>2.5+0.5</f>
        <v>3</v>
      </c>
      <c r="D9" s="256">
        <f>6567</f>
        <v>6567</v>
      </c>
      <c r="E9" s="258"/>
      <c r="F9" s="339"/>
      <c r="G9" s="258"/>
      <c r="H9" s="258"/>
      <c r="I9" s="258"/>
      <c r="J9" s="258"/>
      <c r="K9" s="258">
        <f t="shared" si="0"/>
        <v>6567</v>
      </c>
      <c r="L9" s="258"/>
      <c r="M9" s="258"/>
      <c r="N9" s="258">
        <f>K9*30%</f>
        <v>1970.1</v>
      </c>
      <c r="O9" s="258"/>
      <c r="P9" s="258"/>
      <c r="Q9" s="256">
        <f>60000-(D9+E9+N9)*C9</f>
        <v>34388.7</v>
      </c>
      <c r="R9" s="258">
        <f>SUM(K9:P9)*C9+Q9</f>
        <v>60000</v>
      </c>
      <c r="S9" s="346">
        <v>13</v>
      </c>
      <c r="Y9" s="55"/>
    </row>
    <row r="10" spans="1:25" ht="19.5" customHeight="1">
      <c r="A10" s="260">
        <v>4</v>
      </c>
      <c r="B10" s="345" t="s">
        <v>210</v>
      </c>
      <c r="C10" s="188">
        <v>1</v>
      </c>
      <c r="D10" s="256">
        <f>6567</f>
        <v>6567</v>
      </c>
      <c r="E10" s="258"/>
      <c r="F10" s="339"/>
      <c r="G10" s="258"/>
      <c r="H10" s="258"/>
      <c r="I10" s="258"/>
      <c r="J10" s="258"/>
      <c r="K10" s="258">
        <f t="shared" si="0"/>
        <v>6567</v>
      </c>
      <c r="L10" s="256"/>
      <c r="M10" s="258"/>
      <c r="N10" s="347">
        <f>K10*30%</f>
        <v>1970.1</v>
      </c>
      <c r="O10" s="258"/>
      <c r="P10" s="258"/>
      <c r="Q10" s="256">
        <f>20000-(D10+E10+N10)*C10</f>
        <v>11462.9</v>
      </c>
      <c r="R10" s="258">
        <f>SUM(K10:P10)*C10+Q10</f>
        <v>20000</v>
      </c>
      <c r="S10" s="346">
        <v>13</v>
      </c>
      <c r="Y10" s="55"/>
    </row>
    <row r="11" spans="1:25" ht="18" customHeight="1" hidden="1">
      <c r="A11" s="260">
        <v>5</v>
      </c>
      <c r="B11" s="254" t="s">
        <v>211</v>
      </c>
      <c r="C11" s="294"/>
      <c r="D11" s="256"/>
      <c r="E11" s="256"/>
      <c r="F11" s="339"/>
      <c r="G11" s="256"/>
      <c r="H11" s="256"/>
      <c r="I11" s="256"/>
      <c r="J11" s="256"/>
      <c r="K11" s="256">
        <f t="shared" si="0"/>
        <v>0</v>
      </c>
      <c r="L11" s="256"/>
      <c r="M11" s="258"/>
      <c r="N11" s="347"/>
      <c r="O11" s="256"/>
      <c r="P11" s="256"/>
      <c r="Q11" s="256"/>
      <c r="R11" s="258">
        <f>SUM(K11:P11)*C11</f>
        <v>0</v>
      </c>
      <c r="S11" s="259"/>
      <c r="Y11" s="55"/>
    </row>
    <row r="12" spans="1:25" ht="19.5" customHeight="1">
      <c r="A12" s="260">
        <v>5</v>
      </c>
      <c r="B12" s="254" t="s">
        <v>211</v>
      </c>
      <c r="C12" s="188">
        <f>1+1+1</f>
        <v>3</v>
      </c>
      <c r="D12" s="256">
        <f>5265</f>
        <v>5265</v>
      </c>
      <c r="E12" s="256"/>
      <c r="F12" s="339"/>
      <c r="G12" s="256"/>
      <c r="H12" s="256"/>
      <c r="I12" s="256"/>
      <c r="J12" s="256"/>
      <c r="K12" s="256">
        <f t="shared" si="0"/>
        <v>5265</v>
      </c>
      <c r="L12" s="258"/>
      <c r="M12" s="258"/>
      <c r="N12" s="347"/>
      <c r="O12" s="256"/>
      <c r="P12" s="256"/>
      <c r="Q12" s="256"/>
      <c r="R12" s="258">
        <f>SUM(K12:P12)*C12</f>
        <v>15795</v>
      </c>
      <c r="S12" s="259">
        <f>10</f>
        <v>10</v>
      </c>
      <c r="Y12" s="55"/>
    </row>
    <row r="13" spans="1:25" ht="19.5" customHeight="1">
      <c r="A13" s="260">
        <v>6</v>
      </c>
      <c r="B13" s="254" t="s">
        <v>97</v>
      </c>
      <c r="C13" s="514">
        <f>10.25+5+1</f>
        <v>16.25</v>
      </c>
      <c r="D13" s="258">
        <f>5005</f>
        <v>5005</v>
      </c>
      <c r="E13" s="256"/>
      <c r="F13" s="339"/>
      <c r="G13" s="256"/>
      <c r="H13" s="256">
        <f>D13*60%</f>
        <v>3003</v>
      </c>
      <c r="I13" s="256"/>
      <c r="J13" s="256"/>
      <c r="K13" s="256">
        <f>SUM(D13:J13)-H13</f>
        <v>5005</v>
      </c>
      <c r="L13" s="256"/>
      <c r="M13" s="256"/>
      <c r="N13" s="256">
        <f>K13*30%</f>
        <v>1501.5</v>
      </c>
      <c r="O13" s="256"/>
      <c r="P13" s="256"/>
      <c r="Q13" s="256">
        <f>219375-(D13+N13)*C13</f>
        <v>113644.375</v>
      </c>
      <c r="R13" s="258">
        <f>SUM(K13:P13)*C13+H13+Q13</f>
        <v>222378</v>
      </c>
      <c r="S13" s="259">
        <v>9</v>
      </c>
      <c r="Y13" s="55"/>
    </row>
    <row r="14" spans="1:25" ht="18.75" customHeight="1" hidden="1">
      <c r="A14" s="260"/>
      <c r="B14" s="345"/>
      <c r="C14" s="188"/>
      <c r="D14" s="258"/>
      <c r="E14" s="258"/>
      <c r="F14" s="339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346"/>
      <c r="Y14" s="55"/>
    </row>
    <row r="15" spans="1:25" s="122" customFormat="1" ht="16.5" customHeight="1" hidden="1">
      <c r="A15" s="348"/>
      <c r="B15" s="288"/>
      <c r="C15" s="294"/>
      <c r="D15" s="257"/>
      <c r="E15" s="257"/>
      <c r="F15" s="34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303"/>
      <c r="Y15" s="121"/>
    </row>
    <row r="16" spans="1:25" ht="18" customHeight="1" hidden="1">
      <c r="A16" s="260"/>
      <c r="B16" s="254"/>
      <c r="C16" s="188"/>
      <c r="D16" s="258"/>
      <c r="E16" s="256"/>
      <c r="F16" s="339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8"/>
      <c r="S16" s="259"/>
      <c r="Y16" s="55"/>
    </row>
    <row r="17" spans="1:25" ht="17.25" customHeight="1" hidden="1">
      <c r="A17" s="260"/>
      <c r="B17" s="254" t="s">
        <v>76</v>
      </c>
      <c r="C17" s="188"/>
      <c r="D17" s="258"/>
      <c r="E17" s="256"/>
      <c r="F17" s="339"/>
      <c r="G17" s="256"/>
      <c r="H17" s="256"/>
      <c r="I17" s="256"/>
      <c r="J17" s="256"/>
      <c r="K17" s="256">
        <f t="shared" si="0"/>
        <v>0</v>
      </c>
      <c r="L17" s="256"/>
      <c r="M17" s="256"/>
      <c r="N17" s="256">
        <f>K17*30%</f>
        <v>0</v>
      </c>
      <c r="O17" s="256"/>
      <c r="P17" s="256"/>
      <c r="Q17" s="256"/>
      <c r="R17" s="258">
        <f>SUM(K17:P17)*C17</f>
        <v>0</v>
      </c>
      <c r="S17" s="259"/>
      <c r="Y17" s="55"/>
    </row>
    <row r="18" spans="1:25" ht="17.25" customHeight="1" hidden="1">
      <c r="A18" s="260"/>
      <c r="B18" s="476" t="s">
        <v>217</v>
      </c>
      <c r="C18" s="187"/>
      <c r="D18" s="258"/>
      <c r="E18" s="256"/>
      <c r="F18" s="339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8"/>
      <c r="S18" s="259"/>
      <c r="Y18" s="55"/>
    </row>
    <row r="19" spans="1:25" ht="17.25" customHeight="1" hidden="1">
      <c r="A19" s="260">
        <v>7</v>
      </c>
      <c r="B19" s="288" t="s">
        <v>97</v>
      </c>
      <c r="C19" s="187"/>
      <c r="D19" s="258"/>
      <c r="E19" s="339"/>
      <c r="F19" s="339"/>
      <c r="G19" s="256"/>
      <c r="H19" s="256">
        <f>D19*60%</f>
        <v>0</v>
      </c>
      <c r="I19" s="256"/>
      <c r="J19" s="256"/>
      <c r="K19" s="256">
        <f t="shared" si="0"/>
        <v>0</v>
      </c>
      <c r="L19" s="256"/>
      <c r="M19" s="256"/>
      <c r="N19" s="255">
        <f>K19*20%</f>
        <v>0</v>
      </c>
      <c r="O19" s="256"/>
      <c r="P19" s="256"/>
      <c r="Q19" s="256"/>
      <c r="R19" s="258">
        <f>SUM(K19:P19)*C19</f>
        <v>0</v>
      </c>
      <c r="S19" s="259">
        <v>9</v>
      </c>
      <c r="Y19" s="55"/>
    </row>
    <row r="20" spans="1:25" ht="20.25" customHeight="1" hidden="1">
      <c r="A20" s="260">
        <v>8</v>
      </c>
      <c r="B20" s="288" t="s">
        <v>97</v>
      </c>
      <c r="C20" s="350"/>
      <c r="D20" s="256"/>
      <c r="E20" s="339"/>
      <c r="F20" s="339"/>
      <c r="G20" s="256"/>
      <c r="H20" s="256"/>
      <c r="I20" s="256"/>
      <c r="J20" s="256"/>
      <c r="K20" s="256">
        <f t="shared" si="0"/>
        <v>0</v>
      </c>
      <c r="L20" s="256"/>
      <c r="M20" s="256"/>
      <c r="N20" s="302">
        <f>K20*20%</f>
        <v>0</v>
      </c>
      <c r="O20" s="302"/>
      <c r="P20" s="256"/>
      <c r="Q20" s="256"/>
      <c r="R20" s="258">
        <f>SUM(K20:P20)*C20</f>
        <v>0</v>
      </c>
      <c r="S20" s="259">
        <v>8</v>
      </c>
      <c r="Y20" s="55"/>
    </row>
    <row r="21" spans="1:25" ht="18.75" customHeight="1" hidden="1">
      <c r="A21" s="260"/>
      <c r="B21" s="288"/>
      <c r="C21" s="187"/>
      <c r="D21" s="256"/>
      <c r="E21" s="258"/>
      <c r="F21" s="339"/>
      <c r="G21" s="256"/>
      <c r="H21" s="256"/>
      <c r="I21" s="256"/>
      <c r="J21" s="256"/>
      <c r="K21" s="256"/>
      <c r="L21" s="256"/>
      <c r="M21" s="256"/>
      <c r="N21" s="302"/>
      <c r="O21" s="256"/>
      <c r="P21" s="256"/>
      <c r="Q21" s="256"/>
      <c r="R21" s="258"/>
      <c r="S21" s="259"/>
      <c r="Y21" s="55"/>
    </row>
    <row r="22" spans="1:25" ht="3.75" customHeight="1" hidden="1">
      <c r="A22" s="260"/>
      <c r="B22" s="254"/>
      <c r="C22" s="350"/>
      <c r="D22" s="256"/>
      <c r="E22" s="256"/>
      <c r="F22" s="339"/>
      <c r="G22" s="256"/>
      <c r="H22" s="256"/>
      <c r="I22" s="256"/>
      <c r="J22" s="256"/>
      <c r="K22" s="256"/>
      <c r="L22" s="256"/>
      <c r="M22" s="256"/>
      <c r="N22" s="302"/>
      <c r="O22" s="256"/>
      <c r="P22" s="256"/>
      <c r="Q22" s="256"/>
      <c r="R22" s="258"/>
      <c r="S22" s="259"/>
      <c r="Y22" s="55"/>
    </row>
    <row r="23" spans="1:25" ht="18" customHeight="1" hidden="1">
      <c r="A23" s="260"/>
      <c r="B23" s="254"/>
      <c r="C23" s="187"/>
      <c r="D23" s="256"/>
      <c r="E23" s="256"/>
      <c r="F23" s="339"/>
      <c r="G23" s="256"/>
      <c r="H23" s="256"/>
      <c r="I23" s="256"/>
      <c r="J23" s="256"/>
      <c r="K23" s="256"/>
      <c r="L23" s="256"/>
      <c r="M23" s="256"/>
      <c r="N23" s="302"/>
      <c r="O23" s="256"/>
      <c r="P23" s="256"/>
      <c r="Q23" s="256"/>
      <c r="R23" s="258"/>
      <c r="S23" s="259"/>
      <c r="Y23" s="55"/>
    </row>
    <row r="24" spans="1:25" ht="19.5" customHeight="1" hidden="1">
      <c r="A24" s="260"/>
      <c r="B24" s="288"/>
      <c r="C24" s="187"/>
      <c r="D24" s="256"/>
      <c r="E24" s="256"/>
      <c r="F24" s="339"/>
      <c r="G24" s="256"/>
      <c r="H24" s="256"/>
      <c r="I24" s="256"/>
      <c r="J24" s="256"/>
      <c r="K24" s="256"/>
      <c r="L24" s="256"/>
      <c r="M24" s="256"/>
      <c r="N24" s="302"/>
      <c r="O24" s="256"/>
      <c r="P24" s="256"/>
      <c r="Q24" s="256"/>
      <c r="R24" s="258"/>
      <c r="S24" s="259"/>
      <c r="Y24" s="55"/>
    </row>
    <row r="25" spans="1:25" ht="19.5" customHeight="1">
      <c r="A25" s="260">
        <v>7</v>
      </c>
      <c r="B25" s="254" t="s">
        <v>192</v>
      </c>
      <c r="C25" s="187">
        <v>0.5</v>
      </c>
      <c r="D25" s="256">
        <f>6700*1</f>
        <v>6700</v>
      </c>
      <c r="E25" s="339"/>
      <c r="F25" s="339"/>
      <c r="G25" s="256"/>
      <c r="H25" s="256"/>
      <c r="I25" s="256"/>
      <c r="J25" s="256"/>
      <c r="K25" s="256">
        <f t="shared" si="0"/>
        <v>6700</v>
      </c>
      <c r="L25" s="256"/>
      <c r="M25" s="256"/>
      <c r="N25" s="302"/>
      <c r="O25" s="256"/>
      <c r="P25" s="256">
        <f>3674*10%</f>
        <v>367.40000000000003</v>
      </c>
      <c r="Q25" s="256"/>
      <c r="R25" s="258">
        <f>SUM(K25:P25)*C25</f>
        <v>3533.7</v>
      </c>
      <c r="S25" s="259">
        <v>4</v>
      </c>
      <c r="Y25" s="55"/>
    </row>
    <row r="26" spans="1:25" ht="31.5" customHeight="1">
      <c r="A26" s="260">
        <v>8</v>
      </c>
      <c r="B26" s="254" t="s">
        <v>212</v>
      </c>
      <c r="C26" s="187">
        <v>3</v>
      </c>
      <c r="D26" s="256">
        <f>6700*1</f>
        <v>6700</v>
      </c>
      <c r="E26" s="256"/>
      <c r="F26" s="339"/>
      <c r="G26" s="256"/>
      <c r="H26" s="256"/>
      <c r="I26" s="256"/>
      <c r="J26" s="256"/>
      <c r="K26" s="256">
        <f t="shared" si="0"/>
        <v>6700</v>
      </c>
      <c r="L26" s="256"/>
      <c r="M26" s="256"/>
      <c r="N26" s="255"/>
      <c r="O26" s="256"/>
      <c r="P26" s="256">
        <f>3414*10%</f>
        <v>341.40000000000003</v>
      </c>
      <c r="Q26" s="256"/>
      <c r="R26" s="258">
        <f>SUM(K26:P26)*C26</f>
        <v>21124.199999999997</v>
      </c>
      <c r="S26" s="259">
        <v>3</v>
      </c>
      <c r="Y26" s="55"/>
    </row>
    <row r="27" spans="1:25" ht="1.5" customHeight="1" hidden="1">
      <c r="A27" s="260"/>
      <c r="B27" s="254" t="s">
        <v>154</v>
      </c>
      <c r="C27" s="187"/>
      <c r="D27" s="256"/>
      <c r="E27" s="256"/>
      <c r="F27" s="339"/>
      <c r="G27" s="256"/>
      <c r="H27" s="256"/>
      <c r="I27" s="256"/>
      <c r="J27" s="256"/>
      <c r="K27" s="256">
        <f t="shared" si="0"/>
        <v>0</v>
      </c>
      <c r="L27" s="256"/>
      <c r="M27" s="256"/>
      <c r="N27" s="255"/>
      <c r="O27" s="256"/>
      <c r="P27" s="256"/>
      <c r="Q27" s="256"/>
      <c r="R27" s="258">
        <f>SUM(K27:P27)*C27</f>
        <v>0</v>
      </c>
      <c r="S27" s="259"/>
      <c r="Y27" s="55"/>
    </row>
    <row r="28" spans="1:25" ht="21.75" customHeight="1" hidden="1">
      <c r="A28" s="260"/>
      <c r="B28" s="254"/>
      <c r="C28" s="187"/>
      <c r="D28" s="256"/>
      <c r="E28" s="256"/>
      <c r="F28" s="339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8"/>
      <c r="S28" s="259"/>
      <c r="Y28" s="55"/>
    </row>
    <row r="29" spans="1:25" ht="31.5" customHeight="1">
      <c r="A29" s="260">
        <v>9</v>
      </c>
      <c r="B29" s="254" t="s">
        <v>229</v>
      </c>
      <c r="C29" s="187">
        <v>1</v>
      </c>
      <c r="D29" s="256">
        <f>6700*1</f>
        <v>6700</v>
      </c>
      <c r="E29" s="255"/>
      <c r="F29" s="339"/>
      <c r="G29" s="255"/>
      <c r="H29" s="255"/>
      <c r="I29" s="255"/>
      <c r="J29" s="255"/>
      <c r="K29" s="256">
        <f t="shared" si="0"/>
        <v>6700</v>
      </c>
      <c r="L29" s="255"/>
      <c r="M29" s="255"/>
      <c r="N29" s="255"/>
      <c r="O29" s="256"/>
      <c r="P29" s="256"/>
      <c r="Q29" s="256"/>
      <c r="R29" s="258">
        <f>SUM(K29:P29)*C29</f>
        <v>6700</v>
      </c>
      <c r="S29" s="259">
        <v>5</v>
      </c>
      <c r="Y29" s="55"/>
    </row>
    <row r="30" spans="1:25" ht="20.25" customHeight="1" hidden="1">
      <c r="A30" s="260"/>
      <c r="B30" s="254" t="s">
        <v>98</v>
      </c>
      <c r="C30" s="187"/>
      <c r="D30" s="256"/>
      <c r="E30" s="256"/>
      <c r="F30" s="339"/>
      <c r="G30" s="256"/>
      <c r="H30" s="256"/>
      <c r="I30" s="256"/>
      <c r="J30" s="256"/>
      <c r="K30" s="256">
        <f t="shared" si="0"/>
        <v>0</v>
      </c>
      <c r="L30" s="256"/>
      <c r="M30" s="256"/>
      <c r="N30" s="256"/>
      <c r="O30" s="256"/>
      <c r="P30" s="256"/>
      <c r="Q30" s="256"/>
      <c r="R30" s="258">
        <f>SUM(K30:P30)*C30</f>
        <v>0</v>
      </c>
      <c r="S30" s="259"/>
      <c r="Y30" s="55"/>
    </row>
    <row r="31" spans="1:25" ht="32.25" customHeight="1" hidden="1">
      <c r="A31" s="618" t="s">
        <v>99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20"/>
      <c r="Y31" s="55"/>
    </row>
    <row r="32" spans="1:25" ht="15" customHeight="1" hidden="1">
      <c r="A32" s="260">
        <v>1</v>
      </c>
      <c r="B32" s="254" t="s">
        <v>23</v>
      </c>
      <c r="C32" s="187"/>
      <c r="D32" s="256"/>
      <c r="E32" s="256"/>
      <c r="F32" s="339"/>
      <c r="G32" s="256"/>
      <c r="H32" s="256"/>
      <c r="I32" s="256"/>
      <c r="J32" s="256"/>
      <c r="K32" s="256">
        <f t="shared" si="0"/>
        <v>0</v>
      </c>
      <c r="L32" s="256"/>
      <c r="M32" s="256"/>
      <c r="N32" s="256">
        <f>K32*30%</f>
        <v>0</v>
      </c>
      <c r="O32" s="256"/>
      <c r="P32" s="256"/>
      <c r="Q32" s="256"/>
      <c r="R32" s="258">
        <f>SUM(K32:P32)*C32</f>
        <v>0</v>
      </c>
      <c r="S32" s="259"/>
      <c r="Y32" s="55"/>
    </row>
    <row r="33" spans="1:25" ht="21" customHeight="1" hidden="1">
      <c r="A33" s="260">
        <v>2</v>
      </c>
      <c r="B33" s="351" t="s">
        <v>184</v>
      </c>
      <c r="C33" s="188"/>
      <c r="D33" s="258"/>
      <c r="E33" s="258">
        <f>D33*10%</f>
        <v>0</v>
      </c>
      <c r="F33" s="339"/>
      <c r="G33" s="352"/>
      <c r="H33" s="258"/>
      <c r="I33" s="258"/>
      <c r="J33" s="258"/>
      <c r="K33" s="256">
        <f t="shared" si="0"/>
        <v>0</v>
      </c>
      <c r="L33" s="258"/>
      <c r="M33" s="258"/>
      <c r="N33" s="258">
        <f>K33*30%</f>
        <v>0</v>
      </c>
      <c r="O33" s="258"/>
      <c r="P33" s="258"/>
      <c r="Q33" s="258"/>
      <c r="R33" s="258">
        <f>SUM(K33:P33)*C33</f>
        <v>0</v>
      </c>
      <c r="S33" s="346"/>
      <c r="Y33" s="55"/>
    </row>
    <row r="34" spans="1:25" s="126" customFormat="1" ht="35.25" customHeight="1" hidden="1">
      <c r="A34" s="260">
        <v>3</v>
      </c>
      <c r="B34" s="254" t="s">
        <v>160</v>
      </c>
      <c r="C34" s="187"/>
      <c r="D34" s="258"/>
      <c r="E34" s="256"/>
      <c r="F34" s="339"/>
      <c r="G34" s="256"/>
      <c r="H34" s="256"/>
      <c r="I34" s="256"/>
      <c r="J34" s="256"/>
      <c r="K34" s="256">
        <f>D34</f>
        <v>0</v>
      </c>
      <c r="L34" s="256"/>
      <c r="M34" s="256"/>
      <c r="N34" s="256">
        <f>K34*30%</f>
        <v>0</v>
      </c>
      <c r="O34" s="256"/>
      <c r="P34" s="256"/>
      <c r="Q34" s="256"/>
      <c r="R34" s="258">
        <f>K34+N34</f>
        <v>0</v>
      </c>
      <c r="S34" s="259"/>
      <c r="Y34" s="127"/>
    </row>
    <row r="35" spans="1:25" ht="33.75" customHeight="1" hidden="1">
      <c r="A35" s="260">
        <v>4</v>
      </c>
      <c r="B35" s="254" t="s">
        <v>172</v>
      </c>
      <c r="C35" s="187"/>
      <c r="D35" s="258"/>
      <c r="E35" s="255"/>
      <c r="F35" s="339"/>
      <c r="G35" s="256"/>
      <c r="H35" s="256"/>
      <c r="I35" s="256"/>
      <c r="J35" s="256"/>
      <c r="K35" s="256">
        <f t="shared" si="0"/>
        <v>0</v>
      </c>
      <c r="L35" s="256"/>
      <c r="M35" s="256"/>
      <c r="N35" s="256">
        <f>K35*30%</f>
        <v>0</v>
      </c>
      <c r="O35" s="256"/>
      <c r="P35" s="256"/>
      <c r="Q35" s="256"/>
      <c r="R35" s="258">
        <f>SUM(K35:P35)*C35</f>
        <v>0</v>
      </c>
      <c r="S35" s="259"/>
      <c r="Y35" s="55"/>
    </row>
    <row r="36" spans="1:25" ht="19.5" customHeight="1" hidden="1">
      <c r="A36" s="260">
        <v>5</v>
      </c>
      <c r="B36" s="254" t="s">
        <v>192</v>
      </c>
      <c r="C36" s="187"/>
      <c r="D36" s="256"/>
      <c r="E36" s="256"/>
      <c r="F36" s="339"/>
      <c r="G36" s="256"/>
      <c r="H36" s="256"/>
      <c r="I36" s="256"/>
      <c r="J36" s="256"/>
      <c r="K36" s="256">
        <f t="shared" si="0"/>
        <v>0</v>
      </c>
      <c r="L36" s="256"/>
      <c r="M36" s="256"/>
      <c r="N36" s="256"/>
      <c r="O36" s="256"/>
      <c r="P36" s="256">
        <f>D36*10%</f>
        <v>0</v>
      </c>
      <c r="Q36" s="256"/>
      <c r="R36" s="258">
        <f>SUM(K36:P36)*C36</f>
        <v>0</v>
      </c>
      <c r="S36" s="259"/>
      <c r="Y36" s="55"/>
    </row>
    <row r="37" spans="1:25" ht="19.5" customHeight="1">
      <c r="A37" s="260">
        <v>10</v>
      </c>
      <c r="B37" s="254" t="s">
        <v>261</v>
      </c>
      <c r="C37" s="350">
        <v>0.25</v>
      </c>
      <c r="D37" s="256">
        <f>6700*1</f>
        <v>6700</v>
      </c>
      <c r="E37" s="256"/>
      <c r="F37" s="339"/>
      <c r="G37" s="256"/>
      <c r="H37" s="256"/>
      <c r="I37" s="256"/>
      <c r="J37" s="256"/>
      <c r="K37" s="256">
        <f t="shared" si="0"/>
        <v>6700</v>
      </c>
      <c r="L37" s="256"/>
      <c r="M37" s="256"/>
      <c r="N37" s="256"/>
      <c r="O37" s="256"/>
      <c r="P37" s="256"/>
      <c r="Q37" s="256"/>
      <c r="R37" s="258">
        <f>SUM(K37:P37)*C37</f>
        <v>1675</v>
      </c>
      <c r="S37" s="259">
        <v>8</v>
      </c>
      <c r="Y37" s="55"/>
    </row>
    <row r="38" spans="1:25" ht="19.5" customHeight="1">
      <c r="A38" s="260"/>
      <c r="B38" s="353" t="s">
        <v>78</v>
      </c>
      <c r="C38" s="190">
        <f>SUM(C6:C37)</f>
        <v>32.5</v>
      </c>
      <c r="D38" s="354"/>
      <c r="E38" s="354"/>
      <c r="F38" s="355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06">
        <f>R6+R8+R9+R10+R12+R13+R25+R26+R29+R37</f>
        <v>441205.9</v>
      </c>
      <c r="S38" s="356"/>
      <c r="V38" s="249"/>
      <c r="Y38" s="55"/>
    </row>
    <row r="39" spans="1:25" ht="19.5" customHeight="1">
      <c r="A39" s="357"/>
      <c r="B39" s="358" t="s">
        <v>100</v>
      </c>
      <c r="C39" s="189"/>
      <c r="D39" s="354"/>
      <c r="E39" s="354"/>
      <c r="F39" s="355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9"/>
      <c r="S39" s="356"/>
      <c r="Y39" s="55"/>
    </row>
    <row r="40" spans="1:25" ht="19.5" customHeight="1">
      <c r="A40" s="357"/>
      <c r="B40" s="358" t="s">
        <v>25</v>
      </c>
      <c r="C40" s="190">
        <f>C6+C7+C8+C9+C10+C12+C32+C11</f>
        <v>11.5</v>
      </c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>
        <f>R6+R8+R9+R10+R12</f>
        <v>185795</v>
      </c>
      <c r="S40" s="356"/>
      <c r="Y40" s="55"/>
    </row>
    <row r="41" spans="1:25" ht="19.5" customHeight="1">
      <c r="A41" s="357"/>
      <c r="B41" s="358" t="s">
        <v>215</v>
      </c>
      <c r="C41" s="191">
        <f>C13</f>
        <v>16.25</v>
      </c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>
        <f>R13</f>
        <v>222378</v>
      </c>
      <c r="S41" s="356"/>
      <c r="Y41" s="55"/>
    </row>
    <row r="42" spans="1:25" ht="19.5" customHeight="1">
      <c r="A42" s="357"/>
      <c r="B42" s="358" t="s">
        <v>26</v>
      </c>
      <c r="C42" s="190">
        <f>C26</f>
        <v>3</v>
      </c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>
        <f>R26</f>
        <v>21124.199999999997</v>
      </c>
      <c r="S42" s="356"/>
      <c r="Y42" s="55"/>
    </row>
    <row r="43" spans="1:25" ht="19.5" customHeight="1">
      <c r="A43" s="357"/>
      <c r="B43" s="358" t="s">
        <v>27</v>
      </c>
      <c r="C43" s="191">
        <f>C25+C28+C29+C37</f>
        <v>1.75</v>
      </c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>
        <f>R25+R29+R37</f>
        <v>11908.7</v>
      </c>
      <c r="S43" s="356"/>
      <c r="Y43" s="55"/>
    </row>
    <row r="44" spans="1:25" ht="17.25" customHeight="1" hidden="1">
      <c r="A44" s="153"/>
      <c r="B44" s="195"/>
      <c r="C44" s="192"/>
      <c r="D44" s="198"/>
      <c r="E44" s="198"/>
      <c r="F44" s="198"/>
      <c r="G44" s="198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200"/>
      <c r="S44" s="185"/>
      <c r="Y44" s="55"/>
    </row>
    <row r="45" spans="1:25" ht="18.75" hidden="1">
      <c r="A45" s="204"/>
      <c r="B45" s="196"/>
      <c r="C45" s="37"/>
      <c r="D45" s="201"/>
      <c r="E45" s="201"/>
      <c r="F45" s="201"/>
      <c r="G45" s="202"/>
      <c r="H45" s="201"/>
      <c r="I45" s="201"/>
      <c r="J45" s="201"/>
      <c r="K45" s="201"/>
      <c r="L45" s="201"/>
      <c r="M45" s="201"/>
      <c r="N45" s="201"/>
      <c r="O45" s="201"/>
      <c r="P45" s="203"/>
      <c r="Q45" s="203"/>
      <c r="R45" s="201"/>
      <c r="S45" s="186"/>
      <c r="Y45" s="55"/>
    </row>
    <row r="46" spans="1:25" ht="24.75" customHeight="1">
      <c r="A46" s="617" t="s">
        <v>213</v>
      </c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Y46" s="55"/>
    </row>
    <row r="47" spans="1:25" ht="15" customHeight="1">
      <c r="A47" s="184">
        <v>1</v>
      </c>
      <c r="B47" s="184">
        <v>2</v>
      </c>
      <c r="C47" s="184">
        <v>3</v>
      </c>
      <c r="D47" s="205">
        <v>4</v>
      </c>
      <c r="E47" s="205">
        <v>5</v>
      </c>
      <c r="F47" s="206">
        <v>6</v>
      </c>
      <c r="G47" s="205">
        <v>7</v>
      </c>
      <c r="H47" s="205">
        <v>8</v>
      </c>
      <c r="I47" s="205">
        <v>9</v>
      </c>
      <c r="J47" s="205">
        <v>10</v>
      </c>
      <c r="K47" s="205">
        <v>11</v>
      </c>
      <c r="L47" s="205">
        <v>12</v>
      </c>
      <c r="M47" s="205">
        <v>13</v>
      </c>
      <c r="N47" s="205">
        <v>14</v>
      </c>
      <c r="O47" s="205">
        <v>15</v>
      </c>
      <c r="P47" s="205">
        <v>16</v>
      </c>
      <c r="Q47" s="205"/>
      <c r="R47" s="205">
        <v>17</v>
      </c>
      <c r="S47" s="184">
        <v>18</v>
      </c>
      <c r="Y47" s="55"/>
    </row>
    <row r="48" spans="1:25" s="122" customFormat="1" ht="19.5" customHeight="1">
      <c r="A48" s="361">
        <v>1</v>
      </c>
      <c r="B48" s="362" t="s">
        <v>214</v>
      </c>
      <c r="C48" s="363">
        <v>4.5</v>
      </c>
      <c r="D48" s="364">
        <f>4456</f>
        <v>4456</v>
      </c>
      <c r="E48" s="365"/>
      <c r="F48" s="365"/>
      <c r="G48" s="365"/>
      <c r="H48" s="365"/>
      <c r="I48" s="365"/>
      <c r="J48" s="365"/>
      <c r="K48" s="366">
        <f>SUM(D48:J48)</f>
        <v>4456</v>
      </c>
      <c r="L48" s="365"/>
      <c r="M48" s="365"/>
      <c r="N48" s="365">
        <f>K48*10%</f>
        <v>445.6</v>
      </c>
      <c r="O48" s="365"/>
      <c r="P48" s="367"/>
      <c r="Q48" s="367">
        <f>60750-(D48+N48)*C48</f>
        <v>38692.8</v>
      </c>
      <c r="R48" s="364">
        <f>SUM(K48:P48)*C48+Q48</f>
        <v>60750</v>
      </c>
      <c r="S48" s="368">
        <v>7</v>
      </c>
      <c r="Y48" s="121"/>
    </row>
    <row r="49" spans="1:25" s="122" customFormat="1" ht="15.75" hidden="1">
      <c r="A49" s="361"/>
      <c r="B49" s="362"/>
      <c r="C49" s="363"/>
      <c r="D49" s="364"/>
      <c r="E49" s="365"/>
      <c r="F49" s="365"/>
      <c r="G49" s="365"/>
      <c r="H49" s="365"/>
      <c r="I49" s="365"/>
      <c r="J49" s="365"/>
      <c r="K49" s="366">
        <f>SUM(D49:J49)</f>
        <v>0</v>
      </c>
      <c r="L49" s="365"/>
      <c r="M49" s="365"/>
      <c r="N49" s="365">
        <f>K49*20%</f>
        <v>0</v>
      </c>
      <c r="O49" s="365"/>
      <c r="P49" s="367"/>
      <c r="Q49" s="367"/>
      <c r="R49" s="364">
        <f>SUM(K49:P49)*C49</f>
        <v>0</v>
      </c>
      <c r="S49" s="368"/>
      <c r="Y49" s="121"/>
    </row>
    <row r="50" spans="1:25" s="122" customFormat="1" ht="15.75" hidden="1">
      <c r="A50" s="361"/>
      <c r="B50" s="362"/>
      <c r="C50" s="363"/>
      <c r="D50" s="365"/>
      <c r="E50" s="365"/>
      <c r="F50" s="365"/>
      <c r="G50" s="365"/>
      <c r="H50" s="365"/>
      <c r="I50" s="365"/>
      <c r="J50" s="365"/>
      <c r="K50" s="366"/>
      <c r="L50" s="365"/>
      <c r="M50" s="365"/>
      <c r="N50" s="365"/>
      <c r="O50" s="365"/>
      <c r="P50" s="367"/>
      <c r="Q50" s="367"/>
      <c r="R50" s="364"/>
      <c r="S50" s="368"/>
      <c r="Y50" s="121"/>
    </row>
    <row r="51" spans="1:25" s="122" customFormat="1" ht="19.5" customHeight="1">
      <c r="A51" s="361">
        <v>2</v>
      </c>
      <c r="B51" s="362" t="s">
        <v>193</v>
      </c>
      <c r="C51" s="363">
        <v>4.5</v>
      </c>
      <c r="D51" s="365">
        <f>6700*1.3</f>
        <v>8710</v>
      </c>
      <c r="E51" s="365"/>
      <c r="F51" s="365"/>
      <c r="G51" s="365"/>
      <c r="H51" s="365"/>
      <c r="I51" s="365"/>
      <c r="J51" s="365"/>
      <c r="K51" s="366">
        <f>SUM(D51:J51)</f>
        <v>8710</v>
      </c>
      <c r="L51" s="365"/>
      <c r="M51" s="365"/>
      <c r="N51" s="365"/>
      <c r="O51" s="365"/>
      <c r="P51" s="367"/>
      <c r="Q51" s="367"/>
      <c r="R51" s="364">
        <f>SUM(K51:P51)*C51</f>
        <v>39195</v>
      </c>
      <c r="S51" s="368">
        <v>4</v>
      </c>
      <c r="Y51" s="121"/>
    </row>
    <row r="52" spans="1:26" s="11" customFormat="1" ht="19.5" customHeight="1">
      <c r="A52" s="369"/>
      <c r="B52" s="353" t="s">
        <v>78</v>
      </c>
      <c r="C52" s="311">
        <f>SUM(C48:C51)</f>
        <v>9</v>
      </c>
      <c r="D52" s="313"/>
      <c r="E52" s="313"/>
      <c r="F52" s="313"/>
      <c r="G52" s="370"/>
      <c r="H52" s="313"/>
      <c r="I52" s="313"/>
      <c r="J52" s="313"/>
      <c r="K52" s="313"/>
      <c r="L52" s="313"/>
      <c r="M52" s="313"/>
      <c r="N52" s="313"/>
      <c r="O52" s="313"/>
      <c r="P52" s="371"/>
      <c r="Q52" s="371"/>
      <c r="R52" s="306">
        <f>SUM(R48:R51)</f>
        <v>99945</v>
      </c>
      <c r="S52" s="372"/>
      <c r="T52" s="110"/>
      <c r="U52" s="110"/>
      <c r="V52" s="110"/>
      <c r="W52" s="110"/>
      <c r="X52" s="110"/>
      <c r="Y52" s="110"/>
      <c r="Z52" s="110"/>
    </row>
    <row r="53" spans="1:25" ht="19.5" customHeight="1">
      <c r="A53" s="330"/>
      <c r="B53" s="358" t="s">
        <v>100</v>
      </c>
      <c r="C53" s="373"/>
      <c r="D53" s="374"/>
      <c r="E53" s="374"/>
      <c r="F53" s="374"/>
      <c r="G53" s="375"/>
      <c r="H53" s="374"/>
      <c r="I53" s="374"/>
      <c r="J53" s="374"/>
      <c r="K53" s="374"/>
      <c r="L53" s="374"/>
      <c r="M53" s="374"/>
      <c r="N53" s="374"/>
      <c r="O53" s="374"/>
      <c r="P53" s="376"/>
      <c r="Q53" s="376"/>
      <c r="R53" s="374"/>
      <c r="S53" s="323"/>
      <c r="Y53" s="55"/>
    </row>
    <row r="54" spans="1:26" s="11" customFormat="1" ht="19.5" customHeight="1">
      <c r="A54" s="369"/>
      <c r="B54" s="358" t="s">
        <v>215</v>
      </c>
      <c r="C54" s="311">
        <f>C49+C48</f>
        <v>4.5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>
        <f>R48</f>
        <v>60750</v>
      </c>
      <c r="S54" s="377"/>
      <c r="T54"/>
      <c r="U54"/>
      <c r="V54"/>
      <c r="W54"/>
      <c r="X54"/>
      <c r="Y54" s="55"/>
      <c r="Z54"/>
    </row>
    <row r="55" spans="1:26" s="11" customFormat="1" ht="19.5" customHeight="1">
      <c r="A55" s="369"/>
      <c r="B55" s="358" t="s">
        <v>26</v>
      </c>
      <c r="C55" s="311">
        <f>C50</f>
        <v>0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>
        <f>R50</f>
        <v>0</v>
      </c>
      <c r="S55" s="377"/>
      <c r="T55"/>
      <c r="U55"/>
      <c r="V55"/>
      <c r="W55"/>
      <c r="X55"/>
      <c r="Y55" s="55"/>
      <c r="Z55"/>
    </row>
    <row r="56" spans="1:26" s="11" customFormat="1" ht="19.5" customHeight="1">
      <c r="A56" s="369"/>
      <c r="B56" s="358" t="s">
        <v>27</v>
      </c>
      <c r="C56" s="311">
        <f>C51</f>
        <v>4.5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>
        <f>R51</f>
        <v>39195</v>
      </c>
      <c r="S56" s="377"/>
      <c r="T56"/>
      <c r="U56"/>
      <c r="V56"/>
      <c r="W56"/>
      <c r="X56"/>
      <c r="Y56" s="55"/>
      <c r="Z56"/>
    </row>
    <row r="57" spans="1:25" ht="18.75" hidden="1">
      <c r="A57" s="378"/>
      <c r="B57" s="379"/>
      <c r="C57" s="230"/>
      <c r="D57" s="380"/>
      <c r="E57" s="380"/>
      <c r="F57" s="380"/>
      <c r="G57" s="381"/>
      <c r="H57" s="380"/>
      <c r="I57" s="380"/>
      <c r="J57" s="380"/>
      <c r="K57" s="380"/>
      <c r="L57" s="380"/>
      <c r="M57" s="380"/>
      <c r="N57" s="380"/>
      <c r="O57" s="380"/>
      <c r="P57" s="382"/>
      <c r="Q57" s="382"/>
      <c r="R57" s="380"/>
      <c r="S57" s="383"/>
      <c r="Y57" s="55"/>
    </row>
    <row r="58" spans="1:19" ht="15.75" customHeight="1" hidden="1">
      <c r="A58" s="384"/>
      <c r="B58" s="385"/>
      <c r="C58" s="193"/>
      <c r="D58" s="386"/>
      <c r="E58" s="387"/>
      <c r="F58" s="386"/>
      <c r="G58" s="387"/>
      <c r="H58" s="387"/>
      <c r="I58" s="387"/>
      <c r="J58" s="387"/>
      <c r="K58" s="387"/>
      <c r="L58" s="387"/>
      <c r="M58" s="387"/>
      <c r="N58" s="387"/>
      <c r="O58" s="387"/>
      <c r="P58" s="386"/>
      <c r="Q58" s="386"/>
      <c r="R58" s="386"/>
      <c r="S58" s="388"/>
    </row>
    <row r="59" spans="1:19" ht="3.75" customHeight="1">
      <c r="A59" s="384"/>
      <c r="B59" s="385"/>
      <c r="C59" s="193"/>
      <c r="D59" s="386"/>
      <c r="E59" s="387"/>
      <c r="F59" s="386"/>
      <c r="G59" s="387"/>
      <c r="H59" s="387"/>
      <c r="I59" s="387"/>
      <c r="J59" s="387"/>
      <c r="K59" s="387"/>
      <c r="L59" s="387"/>
      <c r="M59" s="387"/>
      <c r="N59" s="387"/>
      <c r="O59" s="387"/>
      <c r="P59" s="386"/>
      <c r="Q59" s="386"/>
      <c r="R59" s="386"/>
      <c r="S59" s="388"/>
    </row>
    <row r="60" spans="1:19" ht="19.5" customHeight="1">
      <c r="A60" s="389"/>
      <c r="B60" s="390" t="s">
        <v>131</v>
      </c>
      <c r="C60" s="395">
        <f>C38+C52</f>
        <v>41.5</v>
      </c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>
        <f>R38+R52</f>
        <v>541150.9</v>
      </c>
      <c r="S60" s="388"/>
    </row>
    <row r="61" spans="1:19" ht="19.5" customHeight="1">
      <c r="A61" s="389"/>
      <c r="B61" s="390" t="s">
        <v>50</v>
      </c>
      <c r="C61" s="393">
        <f>C40</f>
        <v>11.5</v>
      </c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>
        <f>R40</f>
        <v>185795</v>
      </c>
      <c r="S61" s="388"/>
    </row>
    <row r="62" spans="1:19" ht="19.5" customHeight="1">
      <c r="A62" s="389"/>
      <c r="B62" s="390" t="s">
        <v>126</v>
      </c>
      <c r="C62" s="391">
        <f>C41+C54</f>
        <v>20.75</v>
      </c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>
        <f>R41+R54</f>
        <v>283128</v>
      </c>
      <c r="S62" s="388"/>
    </row>
    <row r="63" spans="1:19" ht="19.5" customHeight="1">
      <c r="A63" s="389"/>
      <c r="B63" s="390" t="s">
        <v>18</v>
      </c>
      <c r="C63" s="395">
        <f>C42+C55</f>
        <v>3</v>
      </c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>
        <f>R42+R55</f>
        <v>21124.199999999997</v>
      </c>
      <c r="S63" s="388"/>
    </row>
    <row r="64" spans="1:19" ht="19.5" customHeight="1">
      <c r="A64" s="389"/>
      <c r="B64" s="396" t="s">
        <v>49</v>
      </c>
      <c r="C64" s="537">
        <f>C43+C56</f>
        <v>6.25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>
        <f>R43+R56</f>
        <v>51103.7</v>
      </c>
      <c r="S64" s="388"/>
    </row>
    <row r="65" spans="1:19" ht="4.5" customHeight="1">
      <c r="A65" s="3"/>
      <c r="B65" s="4"/>
      <c r="C65" s="6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04"/>
      <c r="S65" s="3"/>
    </row>
    <row r="66" spans="1:19" ht="18" customHeight="1">
      <c r="A66" s="46"/>
      <c r="B66" s="95"/>
      <c r="C66" s="95"/>
      <c r="D66" s="125"/>
      <c r="E66" s="172" t="s">
        <v>104</v>
      </c>
      <c r="F66" s="173"/>
      <c r="G66" s="173"/>
      <c r="H66" s="173"/>
      <c r="I66" s="173"/>
      <c r="J66" s="173"/>
      <c r="K66" s="172" t="str">
        <f>'Адмін.'!K63</f>
        <v>Тетяна ПРИЩЕПА</v>
      </c>
      <c r="L66" s="173"/>
      <c r="M66" s="3"/>
      <c r="N66" s="3"/>
      <c r="O66" s="3"/>
      <c r="P66" s="3"/>
      <c r="Q66" s="3"/>
      <c r="R66" s="105"/>
      <c r="S66" s="3"/>
    </row>
    <row r="67" spans="1:19" ht="15.75" customHeight="1">
      <c r="A67" s="46"/>
      <c r="B67" s="95"/>
      <c r="C67" s="95"/>
      <c r="D67" s="125"/>
      <c r="E67" s="174"/>
      <c r="F67" s="173"/>
      <c r="G67" s="173"/>
      <c r="H67" s="173"/>
      <c r="I67" s="173"/>
      <c r="J67" s="173"/>
      <c r="K67" s="173"/>
      <c r="L67" s="173"/>
      <c r="M67" s="3"/>
      <c r="N67" s="3"/>
      <c r="O67" s="3"/>
      <c r="P67" s="3"/>
      <c r="Q67" s="3"/>
      <c r="R67" s="105"/>
      <c r="S67" s="3"/>
    </row>
    <row r="68" spans="1:19" ht="15" customHeight="1">
      <c r="A68" s="46"/>
      <c r="B68" s="95"/>
      <c r="C68" s="95"/>
      <c r="D68" s="125"/>
      <c r="E68" s="172" t="s">
        <v>77</v>
      </c>
      <c r="F68" s="173"/>
      <c r="G68" s="173"/>
      <c r="H68" s="173"/>
      <c r="I68" s="173"/>
      <c r="J68" s="173"/>
      <c r="K68" s="172" t="s">
        <v>226</v>
      </c>
      <c r="L68" s="173"/>
      <c r="M68" s="3"/>
      <c r="N68" s="3"/>
      <c r="O68" s="3"/>
      <c r="P68" s="3"/>
      <c r="Q68" s="3"/>
      <c r="R68" s="105"/>
      <c r="S68" s="3"/>
    </row>
    <row r="69" spans="1:19" ht="15" customHeight="1">
      <c r="A69" s="46"/>
      <c r="B69" s="95"/>
      <c r="C69" s="95"/>
      <c r="D69" s="125"/>
      <c r="E69" s="174"/>
      <c r="F69" s="173"/>
      <c r="G69" s="173"/>
      <c r="H69" s="173"/>
      <c r="I69" s="173"/>
      <c r="J69" s="173"/>
      <c r="K69" s="173"/>
      <c r="L69" s="173"/>
      <c r="M69" s="32"/>
      <c r="N69" s="40"/>
      <c r="O69" s="40"/>
      <c r="P69" s="40"/>
      <c r="Q69" s="40"/>
      <c r="R69" s="103"/>
      <c r="S69" s="40"/>
    </row>
    <row r="70" spans="1:19" ht="15" customHeight="1">
      <c r="A70" s="47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40"/>
      <c r="O70" s="40"/>
      <c r="P70" s="40"/>
      <c r="Q70" s="40"/>
      <c r="R70" s="103"/>
      <c r="S70" s="40"/>
    </row>
    <row r="71" spans="1:19" ht="16.5">
      <c r="A71" s="47"/>
      <c r="B71" s="49"/>
      <c r="C71" s="32"/>
      <c r="D71" s="32"/>
      <c r="E71" s="32"/>
      <c r="F71" s="32"/>
      <c r="G71" s="32"/>
      <c r="H71" s="32"/>
      <c r="I71" s="56"/>
      <c r="J71" s="32"/>
      <c r="K71" s="32"/>
      <c r="L71" s="32"/>
      <c r="M71" s="32"/>
      <c r="N71" s="40"/>
      <c r="O71" s="40"/>
      <c r="P71" s="40"/>
      <c r="Q71" s="40"/>
      <c r="R71" s="103"/>
      <c r="S71" s="40"/>
    </row>
    <row r="72" spans="1:25" ht="15.75">
      <c r="A72" s="47"/>
      <c r="Y72" s="55"/>
    </row>
    <row r="73" ht="15.75">
      <c r="A73" s="47"/>
    </row>
    <row r="74" spans="1:20" ht="15.75">
      <c r="A74" s="47"/>
      <c r="T74" s="55"/>
    </row>
    <row r="75" ht="15.75">
      <c r="A75" s="2"/>
    </row>
    <row r="76" ht="18.75">
      <c r="A76" s="8"/>
    </row>
    <row r="77" ht="18.75">
      <c r="A77" s="8"/>
    </row>
    <row r="78" ht="18.75">
      <c r="A78" s="8"/>
    </row>
    <row r="81" spans="4:19" ht="12.75">
      <c r="D81" s="249"/>
      <c r="E81" s="251">
        <f>E6</f>
        <v>1050.1499999999999</v>
      </c>
      <c r="F81" s="251"/>
      <c r="G81" s="251"/>
      <c r="H81" s="251">
        <f>H13</f>
        <v>3003</v>
      </c>
      <c r="I81" s="251">
        <f>I28*2+I51*7</f>
        <v>0</v>
      </c>
      <c r="J81" s="251"/>
      <c r="K81" s="251"/>
      <c r="L81" s="251">
        <f>L6+L7+L8*4.5+L10+L13*9+L14*3+L15+L48*9+L51*7</f>
        <v>0</v>
      </c>
      <c r="M81" s="251">
        <f>M28*2+M51*7</f>
        <v>0</v>
      </c>
      <c r="N81" s="251">
        <f>N6+N8*4.5+N9*3.5+N10*1.5+N13*12.25+N14*3+N15+N16*0.5+N19+N20*2.25+N21*0.75+N23+N24+N48*4.5</f>
        <v>41529.869999999995</v>
      </c>
      <c r="O81" s="251"/>
      <c r="P81" s="251">
        <f>P25+P26*3+P50*0.5</f>
        <v>1391.6000000000001</v>
      </c>
      <c r="Q81" s="251">
        <f>Q6+Q8+Q9+Q10+Q13+Q48</f>
        <v>247842.43</v>
      </c>
      <c r="R81" s="252"/>
      <c r="S81" s="11"/>
    </row>
  </sheetData>
  <sheetProtection/>
  <autoFilter ref="S1:S78"/>
  <mergeCells count="13">
    <mergeCell ref="A1:A2"/>
    <mergeCell ref="B1:B2"/>
    <mergeCell ref="C1:C2"/>
    <mergeCell ref="A46:S46"/>
    <mergeCell ref="A31:S31"/>
    <mergeCell ref="D1:D2"/>
    <mergeCell ref="E1:J1"/>
    <mergeCell ref="L1:N1"/>
    <mergeCell ref="K1:K2"/>
    <mergeCell ref="O1:Q1"/>
    <mergeCell ref="R1:R2"/>
    <mergeCell ref="A4:S4"/>
    <mergeCell ref="S1:S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65" r:id="rId3"/>
  <rowBreaks count="1" manualBreakCount="1">
    <brk id="68" max="17" man="1"/>
  </rowBreaks>
  <colBreaks count="1" manualBreakCount="1">
    <brk id="28" max="668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2:Y34"/>
  <sheetViews>
    <sheetView view="pageBreakPreview" zoomScale="84" zoomScaleNormal="75" zoomScaleSheetLayoutView="84"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.75390625" style="0" customWidth="1"/>
    <col min="2" max="2" width="28.625" style="0" customWidth="1"/>
    <col min="3" max="3" width="7.625" style="59" customWidth="1"/>
    <col min="4" max="4" width="11.125" style="0" customWidth="1"/>
    <col min="5" max="5" width="8.25390625" style="0" customWidth="1"/>
    <col min="6" max="6" width="9.00390625" style="0" customWidth="1"/>
    <col min="7" max="8" width="8.75390625" style="0" customWidth="1"/>
    <col min="9" max="9" width="9.125" style="0" customWidth="1"/>
    <col min="10" max="10" width="7.75390625" style="0" customWidth="1"/>
    <col min="11" max="11" width="11.375" style="0" customWidth="1"/>
    <col min="12" max="12" width="9.125" style="0" customWidth="1"/>
    <col min="13" max="13" width="10.125" style="0" customWidth="1"/>
    <col min="14" max="14" width="11.25390625" style="0" customWidth="1"/>
    <col min="15" max="15" width="10.75390625" style="0" customWidth="1"/>
    <col min="16" max="16" width="10.125" style="0" customWidth="1"/>
    <col min="17" max="17" width="12.25390625" style="0" customWidth="1"/>
    <col min="18" max="18" width="15.125" style="0" bestFit="1" customWidth="1"/>
    <col min="19" max="19" width="9.875" style="0" customWidth="1"/>
    <col min="20" max="20" width="11.25390625" style="0" customWidth="1"/>
    <col min="21" max="21" width="9.25390625" style="0" bestFit="1" customWidth="1"/>
    <col min="22" max="22" width="10.25390625" style="0" customWidth="1"/>
    <col min="23" max="23" width="9.25390625" style="0" bestFit="1" customWidth="1"/>
    <col min="24" max="24" width="10.375" style="0" customWidth="1"/>
  </cols>
  <sheetData>
    <row r="1" ht="12.75"/>
    <row r="2" spans="1:19" ht="18.75" customHeight="1">
      <c r="A2" s="624" t="s">
        <v>0</v>
      </c>
      <c r="B2" s="624" t="s">
        <v>1</v>
      </c>
      <c r="C2" s="622" t="s">
        <v>2</v>
      </c>
      <c r="D2" s="624" t="s">
        <v>12</v>
      </c>
      <c r="E2" s="604" t="s">
        <v>82</v>
      </c>
      <c r="F2" s="605"/>
      <c r="G2" s="605"/>
      <c r="H2" s="605"/>
      <c r="I2" s="605"/>
      <c r="J2" s="606"/>
      <c r="K2" s="607" t="s">
        <v>84</v>
      </c>
      <c r="L2" s="604" t="s">
        <v>85</v>
      </c>
      <c r="M2" s="605"/>
      <c r="N2" s="605"/>
      <c r="O2" s="604" t="s">
        <v>88</v>
      </c>
      <c r="P2" s="605"/>
      <c r="Q2" s="606"/>
      <c r="R2" s="607" t="s">
        <v>19</v>
      </c>
      <c r="S2" s="607" t="s">
        <v>15</v>
      </c>
    </row>
    <row r="3" spans="1:19" ht="79.5" customHeight="1">
      <c r="A3" s="613"/>
      <c r="B3" s="613"/>
      <c r="C3" s="623"/>
      <c r="D3" s="613"/>
      <c r="E3" s="50" t="s">
        <v>186</v>
      </c>
      <c r="F3" s="50" t="s">
        <v>83</v>
      </c>
      <c r="G3" s="50" t="s">
        <v>6</v>
      </c>
      <c r="H3" s="50" t="s">
        <v>91</v>
      </c>
      <c r="I3" s="50" t="s">
        <v>8</v>
      </c>
      <c r="J3" s="50" t="s">
        <v>9</v>
      </c>
      <c r="K3" s="613"/>
      <c r="L3" s="50" t="s">
        <v>86</v>
      </c>
      <c r="M3" s="50" t="s">
        <v>87</v>
      </c>
      <c r="N3" s="50" t="s">
        <v>80</v>
      </c>
      <c r="O3" s="50" t="s">
        <v>89</v>
      </c>
      <c r="P3" s="50" t="s">
        <v>157</v>
      </c>
      <c r="Q3" s="50" t="s">
        <v>236</v>
      </c>
      <c r="R3" s="608"/>
      <c r="S3" s="608"/>
    </row>
    <row r="4" spans="1:19" ht="15" customHeight="1">
      <c r="A4" s="108">
        <v>1</v>
      </c>
      <c r="B4" s="108">
        <v>2</v>
      </c>
      <c r="C4" s="109">
        <v>3</v>
      </c>
      <c r="D4" s="108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  <c r="J4" s="108">
        <v>10</v>
      </c>
      <c r="K4" s="108">
        <v>11</v>
      </c>
      <c r="L4" s="108">
        <v>12</v>
      </c>
      <c r="M4" s="108">
        <v>13</v>
      </c>
      <c r="N4" s="108">
        <v>14</v>
      </c>
      <c r="O4" s="108">
        <v>15</v>
      </c>
      <c r="P4" s="108">
        <v>16</v>
      </c>
      <c r="Q4" s="108">
        <v>17</v>
      </c>
      <c r="R4" s="108">
        <v>18</v>
      </c>
      <c r="S4" s="108">
        <v>19</v>
      </c>
    </row>
    <row r="5" spans="1:19" ht="24.75" customHeight="1">
      <c r="A5" s="621" t="s">
        <v>132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</row>
    <row r="6" spans="1:19" ht="15" customHeight="1">
      <c r="A6" s="23">
        <v>1</v>
      </c>
      <c r="B6" s="19">
        <v>2</v>
      </c>
      <c r="C6" s="107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08">
        <v>17</v>
      </c>
      <c r="R6" s="108">
        <v>18</v>
      </c>
      <c r="S6" s="108">
        <v>19</v>
      </c>
    </row>
    <row r="7" spans="1:19" s="14" customFormat="1" ht="58.5" customHeight="1" hidden="1">
      <c r="A7" s="208">
        <v>1</v>
      </c>
      <c r="B7" s="218" t="s">
        <v>180</v>
      </c>
      <c r="C7" s="210"/>
      <c r="D7" s="216"/>
      <c r="E7" s="216"/>
      <c r="F7" s="217"/>
      <c r="G7" s="216"/>
      <c r="H7" s="216"/>
      <c r="I7" s="216"/>
      <c r="J7" s="216"/>
      <c r="K7" s="213">
        <f>SUM(D7:J7)</f>
        <v>0</v>
      </c>
      <c r="L7" s="216"/>
      <c r="M7" s="216"/>
      <c r="N7" s="216">
        <f aca="true" t="shared" si="0" ref="N7:N12">K7*30%</f>
        <v>0</v>
      </c>
      <c r="O7" s="216"/>
      <c r="P7" s="216"/>
      <c r="Q7" s="213"/>
      <c r="R7" s="214">
        <f>SUM(K7:P7)*C7</f>
        <v>0</v>
      </c>
      <c r="S7" s="128">
        <v>13</v>
      </c>
    </row>
    <row r="8" spans="1:19" s="14" customFormat="1" ht="19.5" customHeight="1">
      <c r="A8" s="397">
        <v>1</v>
      </c>
      <c r="B8" s="15" t="s">
        <v>155</v>
      </c>
      <c r="C8" s="244">
        <v>3</v>
      </c>
      <c r="D8" s="398">
        <f>6567</f>
        <v>6567</v>
      </c>
      <c r="E8" s="399"/>
      <c r="F8" s="400"/>
      <c r="G8" s="399"/>
      <c r="H8" s="399"/>
      <c r="I8" s="399"/>
      <c r="J8" s="399"/>
      <c r="K8" s="399">
        <f aca="true" t="shared" si="1" ref="K8:K14">SUM(D8:J8)</f>
        <v>6567</v>
      </c>
      <c r="L8" s="401"/>
      <c r="M8" s="399"/>
      <c r="N8" s="401">
        <f t="shared" si="0"/>
        <v>1970.1</v>
      </c>
      <c r="O8" s="399"/>
      <c r="P8" s="399"/>
      <c r="Q8" s="399">
        <f>60000-(D8+N8)*C8</f>
        <v>34388.7</v>
      </c>
      <c r="R8" s="402">
        <f>SUM(K8:P8)*C8+Q8</f>
        <v>60000</v>
      </c>
      <c r="S8" s="243">
        <v>13</v>
      </c>
    </row>
    <row r="9" spans="1:19" s="14" customFormat="1" ht="18.75" hidden="1">
      <c r="A9" s="403"/>
      <c r="B9" s="404"/>
      <c r="C9" s="244"/>
      <c r="D9" s="405"/>
      <c r="E9" s="405"/>
      <c r="F9" s="406"/>
      <c r="G9" s="405"/>
      <c r="H9" s="405"/>
      <c r="I9" s="405"/>
      <c r="J9" s="405"/>
      <c r="K9" s="405"/>
      <c r="L9" s="407"/>
      <c r="M9" s="405"/>
      <c r="N9" s="407"/>
      <c r="O9" s="405"/>
      <c r="P9" s="405"/>
      <c r="Q9" s="399">
        <f>60000-(D9+N9)*C9</f>
        <v>60000</v>
      </c>
      <c r="R9" s="402">
        <f>SUM(K9:P9)*C9+Q9</f>
        <v>60000</v>
      </c>
      <c r="S9" s="243"/>
    </row>
    <row r="10" spans="1:19" s="14" customFormat="1" ht="21.75" customHeight="1" hidden="1">
      <c r="A10" s="397"/>
      <c r="B10" s="15"/>
      <c r="C10" s="409"/>
      <c r="D10" s="399"/>
      <c r="E10" s="399"/>
      <c r="F10" s="410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>
        <f>60000-(D10+N10)*C10</f>
        <v>60000</v>
      </c>
      <c r="R10" s="402">
        <f>SUM(K10:P10)*C10+Q10</f>
        <v>60000</v>
      </c>
      <c r="S10" s="16"/>
    </row>
    <row r="11" spans="1:19" s="14" customFormat="1" ht="18" customHeight="1" hidden="1">
      <c r="A11" s="397">
        <v>2</v>
      </c>
      <c r="B11" s="15" t="s">
        <v>28</v>
      </c>
      <c r="C11" s="409"/>
      <c r="D11" s="399"/>
      <c r="E11" s="399"/>
      <c r="F11" s="410"/>
      <c r="G11" s="399"/>
      <c r="H11" s="399"/>
      <c r="I11" s="399"/>
      <c r="J11" s="399"/>
      <c r="K11" s="399">
        <f t="shared" si="1"/>
        <v>0</v>
      </c>
      <c r="L11" s="399"/>
      <c r="M11" s="399"/>
      <c r="N11" s="399">
        <f t="shared" si="0"/>
        <v>0</v>
      </c>
      <c r="O11" s="399"/>
      <c r="P11" s="399"/>
      <c r="Q11" s="399">
        <f>60000-(D11+N11)*C11</f>
        <v>60000</v>
      </c>
      <c r="R11" s="402">
        <f>SUM(K11:P11)*C11+Q11</f>
        <v>60000</v>
      </c>
      <c r="S11" s="16"/>
    </row>
    <row r="12" spans="1:19" s="14" customFormat="1" ht="19.5" customHeight="1">
      <c r="A12" s="397">
        <v>2</v>
      </c>
      <c r="B12" s="411" t="s">
        <v>173</v>
      </c>
      <c r="C12" s="412">
        <f>5-1+1-1</f>
        <v>4</v>
      </c>
      <c r="D12" s="399">
        <f>5265</f>
        <v>5265</v>
      </c>
      <c r="E12" s="413"/>
      <c r="F12" s="410"/>
      <c r="G12" s="398"/>
      <c r="H12" s="413"/>
      <c r="I12" s="413"/>
      <c r="J12" s="413"/>
      <c r="K12" s="399">
        <f t="shared" si="1"/>
        <v>5265</v>
      </c>
      <c r="L12" s="414"/>
      <c r="M12" s="413"/>
      <c r="N12" s="414">
        <f t="shared" si="0"/>
        <v>1579.5</v>
      </c>
      <c r="O12" s="413"/>
      <c r="P12" s="413"/>
      <c r="Q12" s="399">
        <f>54000-(D12+N12)*C12</f>
        <v>26622</v>
      </c>
      <c r="R12" s="402">
        <f>SUM(K12:P12)*C12+Q12</f>
        <v>54000</v>
      </c>
      <c r="S12" s="415">
        <v>10</v>
      </c>
    </row>
    <row r="13" spans="1:19" s="14" customFormat="1" ht="19.5" customHeight="1">
      <c r="A13" s="397">
        <v>3</v>
      </c>
      <c r="B13" s="416" t="s">
        <v>17</v>
      </c>
      <c r="C13" s="417">
        <v>1</v>
      </c>
      <c r="D13" s="398">
        <f>6700*1</f>
        <v>6700</v>
      </c>
      <c r="E13" s="398"/>
      <c r="F13" s="398"/>
      <c r="G13" s="398"/>
      <c r="H13" s="398"/>
      <c r="I13" s="398"/>
      <c r="J13" s="398"/>
      <c r="K13" s="399">
        <f>SUM(D13:J13)</f>
        <v>6700</v>
      </c>
      <c r="L13" s="398"/>
      <c r="M13" s="398"/>
      <c r="N13" s="398"/>
      <c r="O13" s="398"/>
      <c r="P13" s="398">
        <f>3414*10%</f>
        <v>341.40000000000003</v>
      </c>
      <c r="Q13" s="399"/>
      <c r="R13" s="402">
        <f>SUM(K13:P13)*C13</f>
        <v>7041.4</v>
      </c>
      <c r="S13" s="418">
        <v>3</v>
      </c>
    </row>
    <row r="14" spans="1:19" s="14" customFormat="1" ht="19.5" customHeight="1">
      <c r="A14" s="397">
        <v>4</v>
      </c>
      <c r="B14" s="416" t="s">
        <v>93</v>
      </c>
      <c r="C14" s="417">
        <v>0.5</v>
      </c>
      <c r="D14" s="398">
        <f>6700*1.2</f>
        <v>8040</v>
      </c>
      <c r="E14" s="398"/>
      <c r="F14" s="398"/>
      <c r="G14" s="398"/>
      <c r="H14" s="398"/>
      <c r="I14" s="398"/>
      <c r="J14" s="398"/>
      <c r="K14" s="399">
        <f t="shared" si="1"/>
        <v>8040</v>
      </c>
      <c r="L14" s="398"/>
      <c r="M14" s="398"/>
      <c r="N14" s="398"/>
      <c r="O14" s="398"/>
      <c r="P14" s="398"/>
      <c r="Q14" s="399"/>
      <c r="R14" s="402">
        <f>SUM(K14:P14)*C14</f>
        <v>4020</v>
      </c>
      <c r="S14" s="418">
        <v>4</v>
      </c>
    </row>
    <row r="15" spans="1:25" ht="21" customHeight="1" hidden="1">
      <c r="A15" s="618" t="s">
        <v>108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14"/>
      <c r="U15" s="14"/>
      <c r="V15" s="14"/>
      <c r="W15" s="14"/>
      <c r="X15" s="14"/>
      <c r="Y15" s="14"/>
    </row>
    <row r="16" spans="1:19" s="162" customFormat="1" ht="18.75" hidden="1">
      <c r="A16" s="419"/>
      <c r="B16" s="420"/>
      <c r="C16" s="157"/>
      <c r="D16" s="157"/>
      <c r="E16" s="157"/>
      <c r="F16" s="158"/>
      <c r="G16" s="157"/>
      <c r="H16" s="157"/>
      <c r="I16" s="157"/>
      <c r="J16" s="157"/>
      <c r="K16" s="159"/>
      <c r="L16" s="157"/>
      <c r="M16" s="157"/>
      <c r="N16" s="157"/>
      <c r="O16" s="157"/>
      <c r="P16" s="157"/>
      <c r="Q16" s="159"/>
      <c r="R16" s="160"/>
      <c r="S16" s="161"/>
    </row>
    <row r="17" spans="1:19" s="162" customFormat="1" ht="18.75" hidden="1">
      <c r="A17" s="403">
        <v>1</v>
      </c>
      <c r="B17" s="404" t="s">
        <v>183</v>
      </c>
      <c r="C17" s="244"/>
      <c r="D17" s="159"/>
      <c r="E17" s="159"/>
      <c r="F17" s="242"/>
      <c r="G17" s="159"/>
      <c r="H17" s="159"/>
      <c r="I17" s="159"/>
      <c r="J17" s="159"/>
      <c r="K17" s="399">
        <f>SUM(D17:J17)</f>
        <v>0</v>
      </c>
      <c r="L17" s="159"/>
      <c r="M17" s="159"/>
      <c r="N17" s="421">
        <f>K17*30%</f>
        <v>0</v>
      </c>
      <c r="O17" s="159"/>
      <c r="P17" s="159"/>
      <c r="Q17" s="159"/>
      <c r="R17" s="402">
        <f>SUM(K17:P17)*C17</f>
        <v>0</v>
      </c>
      <c r="S17" s="243">
        <v>13</v>
      </c>
    </row>
    <row r="18" spans="1:19" s="14" customFormat="1" ht="37.5" customHeight="1" hidden="1">
      <c r="A18" s="397">
        <v>2</v>
      </c>
      <c r="B18" s="422" t="s">
        <v>109</v>
      </c>
      <c r="C18" s="409"/>
      <c r="D18" s="399"/>
      <c r="E18" s="399"/>
      <c r="F18" s="399"/>
      <c r="G18" s="399"/>
      <c r="H18" s="399"/>
      <c r="I18" s="399"/>
      <c r="J18" s="399"/>
      <c r="K18" s="399">
        <f>SUM(D18:J18)</f>
        <v>0</v>
      </c>
      <c r="L18" s="399"/>
      <c r="M18" s="399"/>
      <c r="N18" s="421">
        <f>K18*30%</f>
        <v>0</v>
      </c>
      <c r="O18" s="399"/>
      <c r="P18" s="399"/>
      <c r="Q18" s="399"/>
      <c r="R18" s="402">
        <f>SUM(K18:P18)*C18</f>
        <v>0</v>
      </c>
      <c r="S18" s="16">
        <v>9</v>
      </c>
    </row>
    <row r="19" spans="1:19" s="14" customFormat="1" ht="61.5" customHeight="1" hidden="1">
      <c r="A19" s="397">
        <v>3</v>
      </c>
      <c r="B19" s="422" t="s">
        <v>101</v>
      </c>
      <c r="C19" s="409"/>
      <c r="D19" s="399"/>
      <c r="E19" s="399"/>
      <c r="F19" s="399"/>
      <c r="G19" s="399"/>
      <c r="H19" s="399"/>
      <c r="I19" s="399"/>
      <c r="J19" s="399"/>
      <c r="K19" s="399">
        <f>SUM(D19:J19)</f>
        <v>0</v>
      </c>
      <c r="L19" s="399"/>
      <c r="M19" s="399"/>
      <c r="N19" s="399"/>
      <c r="O19" s="399"/>
      <c r="P19" s="399">
        <f>D19*10%</f>
        <v>0</v>
      </c>
      <c r="Q19" s="399"/>
      <c r="R19" s="402">
        <f>SUM(K19:P19)*C19</f>
        <v>0</v>
      </c>
      <c r="S19" s="16">
        <v>3</v>
      </c>
    </row>
    <row r="20" spans="1:19" s="14" customFormat="1" ht="19.5" customHeight="1">
      <c r="A20" s="415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5"/>
      <c r="S20" s="16"/>
    </row>
    <row r="21" spans="1:25" ht="19.5" customHeight="1">
      <c r="A21" s="423"/>
      <c r="B21" s="424" t="s">
        <v>131</v>
      </c>
      <c r="C21" s="425">
        <f>C7+C8+C9+C10+C11+C12+C13+C14+C17+C18+C19</f>
        <v>8.5</v>
      </c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7">
        <f>R8+R12+R13+R14</f>
        <v>125061.4</v>
      </c>
      <c r="S21" s="418"/>
      <c r="T21" s="91"/>
      <c r="U21" s="91"/>
      <c r="V21" s="91"/>
      <c r="W21" s="91"/>
      <c r="X21" s="91"/>
      <c r="Y21" s="91"/>
    </row>
    <row r="22" spans="1:20" ht="19.5" customHeight="1">
      <c r="A22" s="24"/>
      <c r="B22" s="106" t="s">
        <v>20</v>
      </c>
      <c r="C22" s="425">
        <f>C7+C8+C9+C17</f>
        <v>3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7">
        <f>R8</f>
        <v>60000</v>
      </c>
      <c r="S22" s="418"/>
      <c r="T22" s="14"/>
    </row>
    <row r="23" spans="1:20" ht="19.5" customHeight="1">
      <c r="A23" s="25"/>
      <c r="B23" s="20" t="s">
        <v>16</v>
      </c>
      <c r="C23" s="428">
        <f>C10+C11+C12+C18</f>
        <v>4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30">
        <f>R12</f>
        <v>54000</v>
      </c>
      <c r="S23" s="16"/>
      <c r="T23" s="14"/>
    </row>
    <row r="24" spans="1:20" ht="19.5" customHeight="1">
      <c r="A24" s="25"/>
      <c r="B24" s="20" t="s">
        <v>22</v>
      </c>
      <c r="C24" s="428">
        <f>C13+C19</f>
        <v>1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30">
        <f>R13</f>
        <v>7041.4</v>
      </c>
      <c r="S24" s="16"/>
      <c r="T24" s="14"/>
    </row>
    <row r="25" spans="1:20" s="156" customFormat="1" ht="19.5" customHeight="1">
      <c r="A25" s="25"/>
      <c r="B25" s="20" t="s">
        <v>21</v>
      </c>
      <c r="C25" s="428">
        <f>C14</f>
        <v>0.5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30">
        <f>R14</f>
        <v>4020</v>
      </c>
      <c r="S25" s="16"/>
      <c r="T25" s="155"/>
    </row>
    <row r="26" spans="1:20" ht="21.75" customHeight="1">
      <c r="A26" s="625"/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14"/>
    </row>
    <row r="27" spans="1:19" ht="18.75">
      <c r="A27" s="153"/>
      <c r="B27" s="147"/>
      <c r="C27" s="148"/>
      <c r="D27" s="147"/>
      <c r="E27" s="149"/>
      <c r="F27" s="150" t="s">
        <v>104</v>
      </c>
      <c r="G27" s="149"/>
      <c r="H27" s="149"/>
      <c r="I27" s="149"/>
      <c r="J27" s="149"/>
      <c r="K27" s="149"/>
      <c r="L27" s="149"/>
      <c r="M27" s="149"/>
      <c r="N27" s="150" t="str">
        <f>'Адмін.'!K63</f>
        <v>Тетяна ПРИЩЕПА</v>
      </c>
      <c r="O27" s="149"/>
      <c r="P27" s="149"/>
      <c r="Q27" s="149"/>
      <c r="R27" s="147"/>
      <c r="S27" s="147"/>
    </row>
    <row r="28" spans="1:19" ht="17.25" customHeight="1">
      <c r="A28" s="154"/>
      <c r="B28" s="135"/>
      <c r="C28" s="151"/>
      <c r="D28" s="135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35"/>
      <c r="S28" s="135"/>
    </row>
    <row r="29" spans="1:19" ht="18.75">
      <c r="A29" s="45" t="s">
        <v>24</v>
      </c>
      <c r="B29" s="135"/>
      <c r="C29" s="151"/>
      <c r="D29" s="135"/>
      <c r="E29" s="152"/>
      <c r="F29" s="150" t="s">
        <v>77</v>
      </c>
      <c r="G29" s="150"/>
      <c r="H29" s="152"/>
      <c r="I29" s="152"/>
      <c r="J29" s="152"/>
      <c r="K29" s="152"/>
      <c r="L29" s="152"/>
      <c r="M29" s="152"/>
      <c r="N29" s="150" t="s">
        <v>226</v>
      </c>
      <c r="O29" s="152"/>
      <c r="P29" s="152"/>
      <c r="Q29" s="152"/>
      <c r="R29" s="135"/>
      <c r="S29" s="135"/>
    </row>
    <row r="30" spans="1:19" ht="18.75">
      <c r="A30" s="153"/>
      <c r="B30" s="147"/>
      <c r="C30" s="148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</row>
    <row r="34" spans="4:22" ht="12.75">
      <c r="D34" s="251"/>
      <c r="E34" s="251">
        <f>E8</f>
        <v>0</v>
      </c>
      <c r="F34" s="251"/>
      <c r="G34" s="251"/>
      <c r="H34" s="251"/>
      <c r="I34" s="251"/>
      <c r="J34" s="251"/>
      <c r="K34" s="251"/>
      <c r="L34" s="251">
        <f>L7+L8*2.5+L12*6</f>
        <v>0</v>
      </c>
      <c r="M34" s="251">
        <f>M14</f>
        <v>0</v>
      </c>
      <c r="N34" s="251">
        <f>N7+N8*4+N10+N11+N12*6</f>
        <v>17357.4</v>
      </c>
      <c r="O34" s="251"/>
      <c r="P34" s="251">
        <f>P13</f>
        <v>341.40000000000003</v>
      </c>
      <c r="Q34" s="251">
        <f>Q8+Q12</f>
        <v>61010.7</v>
      </c>
      <c r="R34" s="251"/>
      <c r="S34" s="251"/>
      <c r="T34" s="251"/>
      <c r="U34" s="11"/>
      <c r="V34" s="11"/>
    </row>
  </sheetData>
  <sheetProtection/>
  <autoFilter ref="S2:S30"/>
  <mergeCells count="13">
    <mergeCell ref="A15:S15"/>
    <mergeCell ref="K2:K3"/>
    <mergeCell ref="A5:S5"/>
    <mergeCell ref="C2:C3"/>
    <mergeCell ref="D2:D3"/>
    <mergeCell ref="O2:Q2"/>
    <mergeCell ref="A26:S26"/>
    <mergeCell ref="E2:J2"/>
    <mergeCell ref="R2:R3"/>
    <mergeCell ref="S2:S3"/>
    <mergeCell ref="A2:A3"/>
    <mergeCell ref="B2:B3"/>
    <mergeCell ref="L2:N2"/>
  </mergeCells>
  <printOptions/>
  <pageMargins left="0.1968503937007874" right="0.15748031496062992" top="0.5118110236220472" bottom="0.4724409448818898" header="0.31496062992125984" footer="0.31496062992125984"/>
  <pageSetup orientation="landscape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Y28"/>
  <sheetViews>
    <sheetView view="pageBreakPreview" zoomScale="80" zoomScaleNormal="75" zoomScaleSheetLayoutView="80" zoomScalePageLayoutView="0" workbookViewId="0" topLeftCell="A1">
      <selection activeCell="C13" sqref="C13"/>
    </sheetView>
  </sheetViews>
  <sheetFormatPr defaultColWidth="9.00390625" defaultRowHeight="12.75"/>
  <cols>
    <col min="1" max="1" width="3.375" style="0" customWidth="1"/>
    <col min="2" max="2" width="27.625" style="0" customWidth="1"/>
    <col min="3" max="3" width="7.875" style="59" customWidth="1"/>
    <col min="4" max="4" width="11.25390625" style="0" customWidth="1"/>
    <col min="5" max="5" width="8.375" style="0" customWidth="1"/>
    <col min="6" max="6" width="8.625" style="0" customWidth="1"/>
    <col min="7" max="7" width="7.625" style="0" customWidth="1"/>
    <col min="8" max="8" width="8.375" style="0" customWidth="1"/>
    <col min="9" max="9" width="8.125" style="0" customWidth="1"/>
    <col min="10" max="10" width="8.00390625" style="0" customWidth="1"/>
    <col min="11" max="11" width="10.625" style="0" customWidth="1"/>
    <col min="12" max="12" width="10.25390625" style="0" customWidth="1"/>
    <col min="13" max="13" width="9.75390625" style="0" customWidth="1"/>
    <col min="14" max="14" width="10.375" style="0" bestFit="1" customWidth="1"/>
    <col min="15" max="15" width="8.125" style="0" customWidth="1"/>
    <col min="16" max="16" width="10.00390625" style="0" customWidth="1"/>
    <col min="17" max="17" width="12.625" style="0" customWidth="1"/>
    <col min="18" max="18" width="14.625" style="0" customWidth="1"/>
    <col min="19" max="19" width="9.625" style="0" customWidth="1"/>
    <col min="20" max="20" width="12.375" style="0" customWidth="1"/>
    <col min="22" max="22" width="12.75390625" style="0" customWidth="1"/>
    <col min="24" max="24" width="10.375" style="0" customWidth="1"/>
  </cols>
  <sheetData>
    <row r="1" spans="1:19" ht="21.75" customHeight="1">
      <c r="A1" s="607" t="s">
        <v>0</v>
      </c>
      <c r="B1" s="607" t="s">
        <v>1</v>
      </c>
      <c r="C1" s="629" t="s">
        <v>2</v>
      </c>
      <c r="D1" s="607" t="s">
        <v>11</v>
      </c>
      <c r="E1" s="604" t="s">
        <v>82</v>
      </c>
      <c r="F1" s="605"/>
      <c r="G1" s="605"/>
      <c r="H1" s="605"/>
      <c r="I1" s="605"/>
      <c r="J1" s="606"/>
      <c r="K1" s="612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07" t="s">
        <v>3</v>
      </c>
      <c r="S1" s="607" t="s">
        <v>4</v>
      </c>
    </row>
    <row r="2" spans="1:19" ht="80.25" customHeight="1">
      <c r="A2" s="608"/>
      <c r="B2" s="608"/>
      <c r="C2" s="630"/>
      <c r="D2" s="608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3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08"/>
      <c r="S2" s="608"/>
    </row>
    <row r="3" spans="1:19" ht="15" customHeight="1">
      <c r="A3" s="524">
        <v>1</v>
      </c>
      <c r="B3" s="524">
        <v>2</v>
      </c>
      <c r="C3" s="525">
        <v>3</v>
      </c>
      <c r="D3" s="524">
        <v>4</v>
      </c>
      <c r="E3" s="524">
        <v>5</v>
      </c>
      <c r="F3" s="524">
        <v>6</v>
      </c>
      <c r="G3" s="524">
        <v>7</v>
      </c>
      <c r="H3" s="524">
        <v>8</v>
      </c>
      <c r="I3" s="524">
        <v>9</v>
      </c>
      <c r="J3" s="524">
        <v>10</v>
      </c>
      <c r="K3" s="524">
        <v>11</v>
      </c>
      <c r="L3" s="524">
        <v>12</v>
      </c>
      <c r="M3" s="524">
        <v>13</v>
      </c>
      <c r="N3" s="524">
        <v>14</v>
      </c>
      <c r="O3" s="524">
        <v>15</v>
      </c>
      <c r="P3" s="524">
        <v>16</v>
      </c>
      <c r="Q3" s="524">
        <v>17</v>
      </c>
      <c r="R3" s="524">
        <v>18</v>
      </c>
      <c r="S3" s="524">
        <v>19</v>
      </c>
    </row>
    <row r="4" spans="1:19" ht="24.75" customHeight="1">
      <c r="A4" s="621" t="s">
        <v>174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</row>
    <row r="5" spans="1:19" ht="15" customHeight="1">
      <c r="A5" s="524">
        <v>1</v>
      </c>
      <c r="B5" s="524">
        <v>2</v>
      </c>
      <c r="C5" s="525">
        <v>3</v>
      </c>
      <c r="D5" s="524">
        <v>4</v>
      </c>
      <c r="E5" s="524">
        <v>5</v>
      </c>
      <c r="F5" s="524">
        <v>6</v>
      </c>
      <c r="G5" s="524">
        <v>7</v>
      </c>
      <c r="H5" s="524">
        <v>8</v>
      </c>
      <c r="I5" s="524">
        <v>9</v>
      </c>
      <c r="J5" s="524">
        <v>10</v>
      </c>
      <c r="K5" s="524">
        <v>11</v>
      </c>
      <c r="L5" s="524">
        <v>12</v>
      </c>
      <c r="M5" s="524">
        <v>13</v>
      </c>
      <c r="N5" s="524">
        <v>14</v>
      </c>
      <c r="O5" s="524">
        <v>15</v>
      </c>
      <c r="P5" s="524">
        <v>16</v>
      </c>
      <c r="Q5" s="524">
        <v>17</v>
      </c>
      <c r="R5" s="524">
        <v>18</v>
      </c>
      <c r="S5" s="524">
        <v>19</v>
      </c>
    </row>
    <row r="6" spans="1:20" s="122" customFormat="1" ht="36.75" customHeight="1" hidden="1">
      <c r="A6" s="219">
        <v>1</v>
      </c>
      <c r="B6" s="163" t="s">
        <v>180</v>
      </c>
      <c r="C6" s="221"/>
      <c r="D6" s="222"/>
      <c r="E6" s="222"/>
      <c r="F6" s="223"/>
      <c r="G6" s="222"/>
      <c r="H6" s="222"/>
      <c r="I6" s="222"/>
      <c r="J6" s="222"/>
      <c r="K6" s="222">
        <f aca="true" t="shared" si="0" ref="K6:K13">SUM(D6:J6)</f>
        <v>0</v>
      </c>
      <c r="L6" s="222"/>
      <c r="M6" s="222"/>
      <c r="N6" s="222">
        <f>K6*30%</f>
        <v>0</v>
      </c>
      <c r="O6" s="222"/>
      <c r="P6" s="222"/>
      <c r="Q6" s="222"/>
      <c r="R6" s="224">
        <f aca="true" t="shared" si="1" ref="R6:R13">SUM(K6:P6)*C6</f>
        <v>0</v>
      </c>
      <c r="S6" s="164">
        <v>11</v>
      </c>
      <c r="T6" s="165"/>
    </row>
    <row r="7" spans="1:20" ht="19.5" customHeight="1">
      <c r="A7" s="436">
        <v>1</v>
      </c>
      <c r="B7" s="404" t="s">
        <v>155</v>
      </c>
      <c r="C7" s="244">
        <f>2.5+0.5</f>
        <v>3</v>
      </c>
      <c r="D7" s="405">
        <f>7001</f>
        <v>7001</v>
      </c>
      <c r="E7" s="405"/>
      <c r="F7" s="437"/>
      <c r="G7" s="405"/>
      <c r="H7" s="405"/>
      <c r="I7" s="405"/>
      <c r="J7" s="405"/>
      <c r="K7" s="405">
        <f t="shared" si="0"/>
        <v>7001</v>
      </c>
      <c r="L7" s="405"/>
      <c r="M7" s="405"/>
      <c r="N7" s="405">
        <f>K7*30%</f>
        <v>2100.2999999999997</v>
      </c>
      <c r="O7" s="405"/>
      <c r="P7" s="405"/>
      <c r="Q7" s="405">
        <f>60000-(D7+N7)*C7</f>
        <v>32696.100000000002</v>
      </c>
      <c r="R7" s="408">
        <f>SUM(K7:P7)*C7+Q7</f>
        <v>60000</v>
      </c>
      <c r="S7" s="243">
        <v>14</v>
      </c>
      <c r="T7" s="59"/>
    </row>
    <row r="8" spans="1:20" ht="18.75" hidden="1">
      <c r="A8" s="436"/>
      <c r="B8" s="404"/>
      <c r="C8" s="244"/>
      <c r="D8" s="405"/>
      <c r="E8" s="405"/>
      <c r="F8" s="437"/>
      <c r="G8" s="405"/>
      <c r="H8" s="405"/>
      <c r="I8" s="405"/>
      <c r="J8" s="405"/>
      <c r="K8" s="405">
        <f t="shared" si="0"/>
        <v>0</v>
      </c>
      <c r="L8" s="405"/>
      <c r="M8" s="405"/>
      <c r="N8" s="405">
        <f>K8*30%</f>
        <v>0</v>
      </c>
      <c r="O8" s="405"/>
      <c r="P8" s="405"/>
      <c r="Q8" s="405"/>
      <c r="R8" s="408">
        <f t="shared" si="1"/>
        <v>0</v>
      </c>
      <c r="S8" s="243"/>
      <c r="T8" s="59"/>
    </row>
    <row r="9" spans="1:20" ht="21" customHeight="1" hidden="1">
      <c r="A9" s="436"/>
      <c r="B9" s="404"/>
      <c r="C9" s="244"/>
      <c r="D9" s="405"/>
      <c r="E9" s="405"/>
      <c r="F9" s="437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8"/>
      <c r="S9" s="243"/>
      <c r="T9" s="59"/>
    </row>
    <row r="10" spans="1:20" ht="19.5" customHeight="1">
      <c r="A10" s="436">
        <v>2</v>
      </c>
      <c r="B10" s="404" t="s">
        <v>97</v>
      </c>
      <c r="C10" s="244">
        <f>4-1</f>
        <v>3</v>
      </c>
      <c r="D10" s="438">
        <f>5265</f>
        <v>5265</v>
      </c>
      <c r="E10" s="405"/>
      <c r="F10" s="437"/>
      <c r="G10" s="405"/>
      <c r="H10" s="405"/>
      <c r="I10" s="405"/>
      <c r="J10" s="405"/>
      <c r="K10" s="405">
        <f t="shared" si="0"/>
        <v>5265</v>
      </c>
      <c r="L10" s="405"/>
      <c r="M10" s="405"/>
      <c r="N10" s="438">
        <f>K10*30%</f>
        <v>1579.5</v>
      </c>
      <c r="O10" s="405"/>
      <c r="P10" s="405"/>
      <c r="Q10" s="405">
        <f>40500-(D10+N10)*C10</f>
        <v>19966.5</v>
      </c>
      <c r="R10" s="408">
        <f>SUM(K10:P10)*C10+Q10</f>
        <v>40500</v>
      </c>
      <c r="S10" s="243">
        <v>10</v>
      </c>
      <c r="T10" s="59"/>
    </row>
    <row r="11" spans="1:20" ht="19.5" customHeight="1">
      <c r="A11" s="436">
        <v>3</v>
      </c>
      <c r="B11" s="420" t="s">
        <v>156</v>
      </c>
      <c r="C11" s="244">
        <v>1</v>
      </c>
      <c r="D11" s="405">
        <f>6700*1</f>
        <v>6700</v>
      </c>
      <c r="E11" s="405"/>
      <c r="F11" s="405"/>
      <c r="G11" s="405"/>
      <c r="H11" s="405"/>
      <c r="I11" s="405"/>
      <c r="J11" s="405"/>
      <c r="K11" s="405">
        <f t="shared" si="0"/>
        <v>6700</v>
      </c>
      <c r="L11" s="405"/>
      <c r="M11" s="405"/>
      <c r="N11" s="405"/>
      <c r="O11" s="405"/>
      <c r="P11" s="405">
        <f>3414*10%</f>
        <v>341.40000000000003</v>
      </c>
      <c r="Q11" s="405"/>
      <c r="R11" s="408">
        <f t="shared" si="1"/>
        <v>7041.4</v>
      </c>
      <c r="S11" s="243">
        <v>3</v>
      </c>
      <c r="T11" s="59"/>
    </row>
    <row r="12" spans="1:20" ht="19.5" customHeight="1">
      <c r="A12" s="436">
        <v>4</v>
      </c>
      <c r="B12" s="404" t="s">
        <v>103</v>
      </c>
      <c r="C12" s="244">
        <v>1</v>
      </c>
      <c r="D12" s="405">
        <f>6700*1</f>
        <v>6700</v>
      </c>
      <c r="E12" s="405"/>
      <c r="F12" s="405"/>
      <c r="G12" s="405"/>
      <c r="H12" s="405"/>
      <c r="I12" s="405"/>
      <c r="J12" s="405"/>
      <c r="K12" s="405">
        <f t="shared" si="0"/>
        <v>6700</v>
      </c>
      <c r="L12" s="405"/>
      <c r="M12" s="405"/>
      <c r="N12" s="405"/>
      <c r="O12" s="405"/>
      <c r="P12" s="405"/>
      <c r="Q12" s="405"/>
      <c r="R12" s="408">
        <f t="shared" si="1"/>
        <v>6700</v>
      </c>
      <c r="S12" s="243">
        <v>3</v>
      </c>
      <c r="T12" s="59"/>
    </row>
    <row r="13" spans="1:20" ht="19.5" customHeight="1">
      <c r="A13" s="436">
        <v>5</v>
      </c>
      <c r="B13" s="404" t="s">
        <v>194</v>
      </c>
      <c r="C13" s="244">
        <v>0.5</v>
      </c>
      <c r="D13" s="405">
        <f>6700*1.2</f>
        <v>8040</v>
      </c>
      <c r="E13" s="405"/>
      <c r="F13" s="405"/>
      <c r="G13" s="405"/>
      <c r="H13" s="405"/>
      <c r="I13" s="405"/>
      <c r="J13" s="405"/>
      <c r="K13" s="405">
        <f t="shared" si="0"/>
        <v>8040</v>
      </c>
      <c r="L13" s="405"/>
      <c r="M13" s="405"/>
      <c r="N13" s="405"/>
      <c r="O13" s="405"/>
      <c r="P13" s="405"/>
      <c r="Q13" s="405"/>
      <c r="R13" s="408">
        <f t="shared" si="1"/>
        <v>4020</v>
      </c>
      <c r="S13" s="243">
        <v>3</v>
      </c>
      <c r="T13" s="59"/>
    </row>
    <row r="14" spans="1:20" ht="19.5" customHeight="1">
      <c r="A14" s="436"/>
      <c r="B14" s="404"/>
      <c r="C14" s="159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8"/>
      <c r="S14" s="243"/>
      <c r="T14" s="59"/>
    </row>
    <row r="15" spans="1:25" ht="19.5" customHeight="1">
      <c r="A15" s="403"/>
      <c r="B15" s="439" t="s">
        <v>131</v>
      </c>
      <c r="C15" s="440">
        <f>SUM(C16:C19)</f>
        <v>8.5</v>
      </c>
      <c r="D15" s="441"/>
      <c r="E15" s="441"/>
      <c r="F15" s="441"/>
      <c r="G15" s="441"/>
      <c r="H15" s="441"/>
      <c r="I15" s="441"/>
      <c r="J15" s="441"/>
      <c r="K15" s="442"/>
      <c r="L15" s="441"/>
      <c r="M15" s="441"/>
      <c r="N15" s="441"/>
      <c r="O15" s="441"/>
      <c r="P15" s="441"/>
      <c r="Q15" s="441"/>
      <c r="R15" s="443">
        <f>SUM(R6:R13)</f>
        <v>118261.4</v>
      </c>
      <c r="S15" s="419"/>
      <c r="T15" s="110"/>
      <c r="U15" s="110"/>
      <c r="V15" s="110"/>
      <c r="W15" s="110"/>
      <c r="X15" s="110"/>
      <c r="Y15" s="55"/>
    </row>
    <row r="16" spans="1:20" ht="19.5" customHeight="1">
      <c r="A16" s="403"/>
      <c r="B16" s="439" t="s">
        <v>20</v>
      </c>
      <c r="C16" s="440">
        <f>SUM(C6:C7)</f>
        <v>3</v>
      </c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3">
        <f>SUM(R6:R7)</f>
        <v>60000</v>
      </c>
      <c r="S16" s="419"/>
      <c r="T16" s="59"/>
    </row>
    <row r="17" spans="1:20" ht="19.5" customHeight="1">
      <c r="A17" s="403"/>
      <c r="B17" s="439" t="s">
        <v>64</v>
      </c>
      <c r="C17" s="440">
        <f>SUM(C8:C10)</f>
        <v>3</v>
      </c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3">
        <f>SUM(R8:R10)</f>
        <v>40500</v>
      </c>
      <c r="S17" s="419"/>
      <c r="T17" s="59"/>
    </row>
    <row r="18" spans="1:20" ht="19.5" customHeight="1">
      <c r="A18" s="403"/>
      <c r="B18" s="439" t="s">
        <v>22</v>
      </c>
      <c r="C18" s="440">
        <f>C11</f>
        <v>1</v>
      </c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3">
        <f>SUM(R11)</f>
        <v>7041.4</v>
      </c>
      <c r="S18" s="419"/>
      <c r="T18" s="59"/>
    </row>
    <row r="19" spans="1:20" ht="19.5" customHeight="1">
      <c r="A19" s="403"/>
      <c r="B19" s="439" t="s">
        <v>27</v>
      </c>
      <c r="C19" s="440">
        <f>C12+C13</f>
        <v>1.5</v>
      </c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3">
        <f>R12+R13</f>
        <v>10720</v>
      </c>
      <c r="S19" s="419"/>
      <c r="T19" s="59"/>
    </row>
    <row r="20" spans="1:19" ht="20.25">
      <c r="A20" s="21"/>
      <c r="B20" s="21"/>
      <c r="C20" s="97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0.25" customHeight="1">
      <c r="A21" s="21"/>
      <c r="B21" s="21"/>
      <c r="C21" s="130"/>
      <c r="D21" s="628" t="str">
        <f>Денихівська!F27</f>
        <v>Інспектор ВК</v>
      </c>
      <c r="E21" s="628"/>
      <c r="F21" s="628"/>
      <c r="G21" s="131"/>
      <c r="H21" s="131"/>
      <c r="I21" s="131"/>
      <c r="J21" s="131"/>
      <c r="K21" s="131"/>
      <c r="L21" s="131"/>
      <c r="M21" s="131"/>
      <c r="N21" s="628" t="str">
        <f>Денихівська!N27</f>
        <v>Тетяна ПРИЩЕПА</v>
      </c>
      <c r="O21" s="628"/>
      <c r="P21" s="628"/>
      <c r="Q21" s="131"/>
      <c r="R21" s="21"/>
      <c r="S21" s="21"/>
    </row>
    <row r="22" spans="3:17" ht="22.5" customHeight="1">
      <c r="C22" s="132"/>
      <c r="D22" s="627" t="str">
        <f>Денихівська!F29</f>
        <v>Економіст</v>
      </c>
      <c r="E22" s="627"/>
      <c r="F22" s="627"/>
      <c r="G22" s="133"/>
      <c r="H22" s="133"/>
      <c r="I22" s="133"/>
      <c r="J22" s="133"/>
      <c r="K22" s="133"/>
      <c r="L22" s="133"/>
      <c r="M22" s="133"/>
      <c r="N22" s="627" t="str">
        <f>Денихівська!N29</f>
        <v>Галина ЛУЧКО</v>
      </c>
      <c r="O22" s="627"/>
      <c r="P22" s="627"/>
      <c r="Q22" s="516"/>
    </row>
    <row r="23" spans="1:19" ht="25.5" customHeight="1">
      <c r="A23" s="22"/>
      <c r="B23" s="57"/>
      <c r="C23" s="9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7" spans="4:19" ht="12.75">
      <c r="D27" s="251"/>
      <c r="E27" s="251">
        <f>E7</f>
        <v>0</v>
      </c>
      <c r="F27" s="251"/>
      <c r="G27" s="251"/>
      <c r="H27" s="251"/>
      <c r="I27" s="251"/>
      <c r="J27" s="251"/>
      <c r="K27" s="251"/>
      <c r="L27" s="251">
        <f>L6/2+L7*2.5+L10*5</f>
        <v>0</v>
      </c>
      <c r="M27" s="251"/>
      <c r="N27" s="251">
        <f>N6*0.5+N7*2.5+N8+N9+N10*5</f>
        <v>13148.25</v>
      </c>
      <c r="O27" s="251"/>
      <c r="P27" s="251">
        <f>P11*1</f>
        <v>341.40000000000003</v>
      </c>
      <c r="Q27" s="251">
        <f>Q7+Q10</f>
        <v>52662.600000000006</v>
      </c>
      <c r="R27" s="251"/>
      <c r="S27" s="249"/>
    </row>
    <row r="28" spans="4:19" ht="12.75"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</sheetData>
  <sheetProtection/>
  <autoFilter ref="S1:S23"/>
  <mergeCells count="15">
    <mergeCell ref="A1:A2"/>
    <mergeCell ref="B1:B2"/>
    <mergeCell ref="C1:C2"/>
    <mergeCell ref="D1:D2"/>
    <mergeCell ref="A4:S4"/>
    <mergeCell ref="O1:Q1"/>
    <mergeCell ref="D22:F22"/>
    <mergeCell ref="N22:P22"/>
    <mergeCell ref="D21:F21"/>
    <mergeCell ref="N21:P21"/>
    <mergeCell ref="R1:R2"/>
    <mergeCell ref="S1:S2"/>
    <mergeCell ref="E1:J1"/>
    <mergeCell ref="K1:K2"/>
    <mergeCell ref="L1:N1"/>
  </mergeCells>
  <printOptions/>
  <pageMargins left="0.2362204724409449" right="0.15748031496062992" top="0.15748031496062992" bottom="0.3149606299212598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2023-02-17T08:36:59Z</cp:lastPrinted>
  <dcterms:created xsi:type="dcterms:W3CDTF">2007-05-25T06:15:19Z</dcterms:created>
  <dcterms:modified xsi:type="dcterms:W3CDTF">2023-02-17T12:43:06Z</dcterms:modified>
  <cp:category/>
  <cp:version/>
  <cp:contentType/>
  <cp:contentStatus/>
</cp:coreProperties>
</file>