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420" tabRatio="792" activeTab="0"/>
  </bookViews>
  <sheets>
    <sheet name="ЦРЛ " sheetId="1" r:id="rId1"/>
    <sheet name="Титульна" sheetId="2" r:id="rId2"/>
  </sheets>
  <definedNames>
    <definedName name="_xlnm.Print_Area" localSheetId="1">'Титульна'!$A$1:$S$24</definedName>
    <definedName name="_xlnm.Print_Area" localSheetId="0">'ЦРЛ '!$A$2:$R$436</definedName>
  </definedNames>
  <calcPr fullCalcOnLoad="1"/>
</workbook>
</file>

<file path=xl/comments1.xml><?xml version="1.0" encoding="utf-8"?>
<comments xmlns="http://schemas.openxmlformats.org/spreadsheetml/2006/main">
  <authors>
    <author>Ekonomist</author>
    <author>Віктор</author>
    <author>TD</author>
  </authors>
  <commentList>
    <comment ref="C29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п</t>
        </r>
        <r>
          <rPr>
            <sz val="14"/>
            <rFont val="Tahoma"/>
            <family val="2"/>
          </rPr>
          <t>ерепрофільовано лише на 2018
 рік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перепрофільовано 0,25 на І. Відділ кадрів лише на 2017
</t>
        </r>
      </text>
    </comment>
    <comment ref="N154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5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6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7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8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  <comment ref="N178" authorId="1">
      <text>
        <r>
          <rPr>
            <b/>
            <sz val="10"/>
            <rFont val="Tahoma"/>
            <family val="2"/>
          </rPr>
          <t>Віктор:</t>
        </r>
        <r>
          <rPr>
            <sz val="10"/>
            <rFont val="Tahoma"/>
            <family val="2"/>
          </rPr>
          <t xml:space="preserve">
789,75</t>
        </r>
      </text>
    </comment>
    <comment ref="C206" authorId="2">
      <text>
        <r>
          <rPr>
            <b/>
            <sz val="9"/>
            <rFont val="Tahoma"/>
            <family val="2"/>
          </rPr>
          <t>TD:</t>
        </r>
        <r>
          <rPr>
            <sz val="9"/>
            <rFont val="Tahoma"/>
            <family val="2"/>
          </rPr>
          <t xml:space="preserve">
0,25 вакантних
</t>
        </r>
      </text>
    </comment>
    <comment ref="C210" authorId="2">
      <text>
        <r>
          <rPr>
            <b/>
            <sz val="9"/>
            <rFont val="Tahoma"/>
            <family val="2"/>
          </rPr>
          <t xml:space="preserve">TD:вакантне
</t>
        </r>
      </text>
    </comment>
    <comment ref="N279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1017,20</t>
        </r>
      </text>
    </comment>
    <comment ref="N280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281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318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921,37</t>
        </r>
      </text>
    </comment>
  </commentList>
</comments>
</file>

<file path=xl/sharedStrings.xml><?xml version="1.0" encoding="utf-8"?>
<sst xmlns="http://schemas.openxmlformats.org/spreadsheetml/2006/main" count="459" uniqueCount="331">
  <si>
    <t>Начальник відділу кадрів</t>
  </si>
  <si>
    <t>№ пп</t>
  </si>
  <si>
    <t>Назва структурного підрозділу та посад</t>
  </si>
  <si>
    <t>К-сть штат. посад</t>
  </si>
  <si>
    <t>Фонд заробі тної плати на місяць (грн.)</t>
  </si>
  <si>
    <t>Розряд</t>
  </si>
  <si>
    <t>Завідув. І  старши нство</t>
  </si>
  <si>
    <t>Катего рія</t>
  </si>
  <si>
    <t>Шкід ливі- сть</t>
  </si>
  <si>
    <t>За санітар ний автомо біль</t>
  </si>
  <si>
    <t>За полік лініку</t>
  </si>
  <si>
    <t>(затверджені в межах чисельності)</t>
  </si>
  <si>
    <t>Посадов. оклад</t>
  </si>
  <si>
    <t>Інженер з охорони праці</t>
  </si>
  <si>
    <t>Архіваріус</t>
  </si>
  <si>
    <t>Слюсар водопостачання ІІІ розряду</t>
  </si>
  <si>
    <t>Ліфтер</t>
  </si>
  <si>
    <t>Майстер по ремонту мед. обладнання</t>
  </si>
  <si>
    <t>Разом:</t>
  </si>
  <si>
    <t>Кухар ІV розряду</t>
  </si>
  <si>
    <t>Кухонний робітник</t>
  </si>
  <si>
    <t>Механік</t>
  </si>
  <si>
    <t xml:space="preserve">          </t>
  </si>
  <si>
    <t>РАЗОМ  ПО РОЗДІЛУ  ІІ:</t>
  </si>
  <si>
    <t>ВСЬОГО ПО РОЗДІЛУ І-ІІ</t>
  </si>
  <si>
    <t>Поса дов. оклад</t>
  </si>
  <si>
    <t>Головний бухгалтер</t>
  </si>
  <si>
    <t xml:space="preserve">Економіст </t>
  </si>
  <si>
    <t xml:space="preserve">              </t>
  </si>
  <si>
    <t xml:space="preserve">Розряд </t>
  </si>
  <si>
    <t>Дезинфектор</t>
  </si>
  <si>
    <t>Молодша медична сестра стерилізації</t>
  </si>
  <si>
    <t xml:space="preserve">Жіноча консультація                    </t>
  </si>
  <si>
    <t xml:space="preserve">           </t>
  </si>
  <si>
    <t>Сестра господарка поліклініки</t>
  </si>
  <si>
    <t>Молодша медсестра – прибиральниці поліклініки</t>
  </si>
  <si>
    <t xml:space="preserve">        </t>
  </si>
  <si>
    <t>Сестра господарка</t>
  </si>
  <si>
    <t>Фізіотерапевтичний кабінет</t>
  </si>
  <si>
    <t>Молодша медсестра</t>
  </si>
  <si>
    <t>Операційний блок</t>
  </si>
  <si>
    <t>Молодша медсестра – приб. операційна</t>
  </si>
  <si>
    <t>Молодша медсестра – приб.</t>
  </si>
  <si>
    <t>Завідувач реанімаційним відділенням лікар-анестезіолог  І кат.</t>
  </si>
  <si>
    <t>Молодші:</t>
  </si>
  <si>
    <t>Молодша медсестра- приб.</t>
  </si>
  <si>
    <t>Лікарі</t>
  </si>
  <si>
    <t>лікарі</t>
  </si>
  <si>
    <t>молодші</t>
  </si>
  <si>
    <t>інші</t>
  </si>
  <si>
    <t>ХАРЧОБЛОК</t>
  </si>
  <si>
    <t xml:space="preserve">             </t>
  </si>
  <si>
    <t>Середні:</t>
  </si>
  <si>
    <t>Інші:</t>
  </si>
  <si>
    <t>Лікарі:</t>
  </si>
  <si>
    <t>Фахівці:</t>
  </si>
  <si>
    <t>Приймальне відділення</t>
  </si>
  <si>
    <t>Інших:</t>
  </si>
  <si>
    <t xml:space="preserve">Фахівці з базою та 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</si>
  <si>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</si>
  <si>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</si>
  <si>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</si>
  <si>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</si>
  <si>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</si>
  <si>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</si>
  <si>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</si>
  <si>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</si>
  <si>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</si>
  <si>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</si>
  <si>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</si>
  <si>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</si>
  <si>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</si>
  <si>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 xml:space="preserve">Фахівці </t>
  </si>
  <si>
    <t>Штат од</t>
  </si>
  <si>
    <t>-</t>
  </si>
  <si>
    <t>Титульний список</t>
  </si>
  <si>
    <t xml:space="preserve"> </t>
  </si>
  <si>
    <t>Молодша медична сестра -буфетниця</t>
  </si>
  <si>
    <t>Молодша медична сестра - буфетниця</t>
  </si>
  <si>
    <t>До штатного розпису</t>
  </si>
  <si>
    <t>Поліклініка</t>
  </si>
  <si>
    <t>Молодший персонал</t>
  </si>
  <si>
    <t>Загальнолікарняний персонал</t>
  </si>
  <si>
    <t xml:space="preserve">                                                    Допоміжні лікувально-діагностичні підрозділи та аптека</t>
  </si>
  <si>
    <t xml:space="preserve">               Рентгенівське відділення</t>
  </si>
  <si>
    <t>Охоронець</t>
  </si>
  <si>
    <t>Інженер - енергетик</t>
  </si>
  <si>
    <t>Машиніст із прання та ремонту спецодягу</t>
  </si>
  <si>
    <t>Завідуючий складом</t>
  </si>
  <si>
    <t>Прибиральниця службових приміщень</t>
  </si>
  <si>
    <t>Молодша медсестра - аптеки</t>
  </si>
  <si>
    <t>Сестра медична стаціонару (палатна) Вища кат.</t>
  </si>
  <si>
    <t>Молодша медсестра – приб. Стаціонару (палатна)</t>
  </si>
  <si>
    <t>Молодша медсестра  - приб. Стаціонару (палатна)</t>
  </si>
  <si>
    <t>Молодша медсестра – приб.  Стаціонару (палатна)</t>
  </si>
  <si>
    <t>Відділення анестезіології з ліжками для інтенсивної терапії 6 ліжок</t>
  </si>
  <si>
    <t>В т. ч. Спеціалісти немедики</t>
  </si>
  <si>
    <t>За стаж роботи</t>
  </si>
  <si>
    <t>РАЗОМ  ПО РОЗДІЛУ  І:</t>
  </si>
  <si>
    <t>Секретар</t>
  </si>
  <si>
    <t xml:space="preserve">  </t>
  </si>
  <si>
    <t>Підвищення посадового окладу (грн.)</t>
  </si>
  <si>
    <t>посад. оклад з підвищеннями</t>
  </si>
  <si>
    <t>Надбавки (грн.)</t>
  </si>
  <si>
    <t>За тривалість роботи (участковість)</t>
  </si>
  <si>
    <t>Класність</t>
  </si>
  <si>
    <t>Доплати (грн)</t>
  </si>
  <si>
    <t>За шкідл. умови праці 12 %</t>
  </si>
  <si>
    <t>Оперативне втручання</t>
  </si>
  <si>
    <t>Сестра медична з фізіотерапії I кат.</t>
  </si>
  <si>
    <t>Бухгалтерія</t>
  </si>
  <si>
    <t>Бухгалтер з обліку основних засобів</t>
  </si>
  <si>
    <t>Бухгалтер з господарчих матеріалів</t>
  </si>
  <si>
    <t>Бухгалтер з обліку продуктів харчування</t>
  </si>
  <si>
    <t>Бухгалтер з розрахунку з працівниками</t>
  </si>
  <si>
    <t>Бухгалтер з обліку медикаментів</t>
  </si>
  <si>
    <t>Туберкульозний кабінет</t>
  </si>
  <si>
    <t xml:space="preserve"> Кабінет функціональної діагностики</t>
  </si>
  <si>
    <t>За сан. авт.</t>
  </si>
  <si>
    <t>оперативне втручанн.</t>
  </si>
  <si>
    <t>Відділення відновлюючого лікування</t>
  </si>
  <si>
    <t>Клініко-діагностична лабораторія</t>
  </si>
  <si>
    <t>Лікар-офтальмолог б/к</t>
  </si>
  <si>
    <t xml:space="preserve">Лікар –інфекціоніст дитячий КІЗ кабінету  б/к  </t>
  </si>
  <si>
    <t>Лікар - інтерн з офтальмології</t>
  </si>
  <si>
    <t>Лікар  - уролог дитячий б/к</t>
  </si>
  <si>
    <t>Сестра медична маніпуляційна б/кат</t>
  </si>
  <si>
    <t>Програміст ЕОМ І кат</t>
  </si>
  <si>
    <t>м.Тетіїв</t>
  </si>
  <si>
    <t>Столяр</t>
  </si>
  <si>
    <t xml:space="preserve">Економіст з праці </t>
  </si>
  <si>
    <t>Лікар – ортопед-травматолог дитячий б/к</t>
  </si>
  <si>
    <t>Лікар з ультразвукової діаг ностики (жін.консул.)Ікат.</t>
  </si>
  <si>
    <t>Сестра медична полік лініки (травматологічного кабінету) Вища кат.</t>
  </si>
  <si>
    <t>Сестра мед. поліклініки  (ендокринолог. кабінету)  Вища кат.</t>
  </si>
  <si>
    <t>Сестра медична полікліні ки (інфекційного кабінету) Вища кат.</t>
  </si>
  <si>
    <t>Лікар-фтізіатр б/кат.</t>
  </si>
  <si>
    <t>Старша сестра медична стаціонару Вища кат.</t>
  </si>
  <si>
    <t>Лікар – терапевт Вища кат.</t>
  </si>
  <si>
    <t>Сестра медична з фізіотерапії Вища кат.</t>
  </si>
  <si>
    <t>Лікар хірург (ург.)  І кат.</t>
  </si>
  <si>
    <t>Лікар - лаборант Вища кат.</t>
  </si>
  <si>
    <t>Лаборант клініко-діагност. лабораторії Вища кат.</t>
  </si>
  <si>
    <t>Лікар рентгенолог для флюорографічного обстеження б/кат.</t>
  </si>
  <si>
    <t>Рентгенлаборант Вища кат.</t>
  </si>
  <si>
    <t>Лікар анестезіолог І кат.</t>
  </si>
  <si>
    <t>Старша сестра медична стаціонару Вища  кат.</t>
  </si>
  <si>
    <t>Сестра медична з анестезіології Вища кат.</t>
  </si>
  <si>
    <t>Лаборант клініко-діагности чної лабораторії стаціонару Вища кат.</t>
  </si>
  <si>
    <t>Старша сестра медична операційна Вища кат.</t>
  </si>
  <si>
    <t>Сестра медична операційна Вища кат.</t>
  </si>
  <si>
    <t>Медичний статистик Вища кат.</t>
  </si>
  <si>
    <t>Сестра медична пункту зберігання крові Вища кат.</t>
  </si>
  <si>
    <t>Лікар-онколог б/кат.</t>
  </si>
  <si>
    <t>Лікар-отоларинголог Вища кат.</t>
  </si>
  <si>
    <t>Лікар-ендокринолог Вища кат.</t>
  </si>
  <si>
    <t>Лікар-нарколог дільничний І кат.</t>
  </si>
  <si>
    <t>Лікар- невропатолог Вища кат.</t>
  </si>
  <si>
    <t>Лікар з ультразвукової діагностики І кат.</t>
  </si>
  <si>
    <t>Сестра медична полікліні ки (дитячого фтізіатра) туб кабінету Вища кат.</t>
  </si>
  <si>
    <t>Старша сестра медична Вища кат.</t>
  </si>
  <si>
    <t>Сестра медична Вища кат.</t>
  </si>
  <si>
    <t>Рентгенлаборант ІІ кат.</t>
  </si>
  <si>
    <t>Сестра медична полік лініки (онколога)Вища кат.</t>
  </si>
  <si>
    <t>Сестра медична полік лініки (офтальмоло гічного кабінету)Вища кат.</t>
  </si>
  <si>
    <t>Сестра медична з функціональної діагностики Вища кат.</t>
  </si>
  <si>
    <t>Лікар- інфекціоніст кабінету"Довіра" б/кат.</t>
  </si>
  <si>
    <t>Лікар терапевт (жіночої консультації) Вища кат.</t>
  </si>
  <si>
    <t>Лікар патологоанатом  б/кат</t>
  </si>
  <si>
    <t>Сестра медична з масажу б/к.</t>
  </si>
  <si>
    <t>Інструктор з фізкультури лікувальної б/к.</t>
  </si>
  <si>
    <t>Сестра медична полік лініки (неврологічного кабінету) Вища кат.</t>
  </si>
  <si>
    <t>Завідувач хірургічним відділенням лікар-хірург І кат.</t>
  </si>
  <si>
    <t xml:space="preserve">Оператор ЕОМ І кат. </t>
  </si>
  <si>
    <t>Кухар ІІІ розряду</t>
  </si>
  <si>
    <t>Фахівець з питань цивільного захисту</t>
  </si>
  <si>
    <t>за дезинфікувальні засоби 10%</t>
  </si>
  <si>
    <t>Лікар з лікувальної фізкультури б/кат.</t>
  </si>
  <si>
    <r>
      <t xml:space="preserve"> РОЗДІЛ І. ШТАТИ </t>
    </r>
    <r>
      <rPr>
        <b/>
        <sz val="20"/>
        <rFont val="Times New Roman"/>
        <family val="1"/>
      </rPr>
      <t xml:space="preserve"> ПРАЦІВНИКІВ  АПАРАТУ  УПРАВЛІННЯ</t>
    </r>
  </si>
  <si>
    <r>
      <t xml:space="preserve">підрозділ І.  </t>
    </r>
    <r>
      <rPr>
        <sz val="20"/>
        <rFont val="Times New Roman"/>
        <family val="1"/>
      </rPr>
      <t xml:space="preserve">Штати працівників апарату управління </t>
    </r>
  </si>
  <si>
    <t>Завідув. І  старшинство</t>
  </si>
  <si>
    <t>За полік лініку 15%</t>
  </si>
  <si>
    <r>
      <t>Розділ ІІ.</t>
    </r>
    <r>
      <rPr>
        <b/>
        <sz val="30"/>
        <rFont val="Times New Roman"/>
        <family val="1"/>
      </rPr>
      <t xml:space="preserve"> Господарсько - обслуговуючий персонал</t>
    </r>
  </si>
  <si>
    <r>
      <t xml:space="preserve">Інші  </t>
    </r>
    <r>
      <rPr>
        <sz val="30"/>
        <rFont val="Times New Roman"/>
        <family val="1"/>
      </rPr>
      <t xml:space="preserve">               </t>
    </r>
  </si>
  <si>
    <r>
      <t>Г</t>
    </r>
    <r>
      <rPr>
        <b/>
        <u val="single"/>
        <sz val="30"/>
        <rFont val="Times New Roman"/>
        <family val="1"/>
      </rPr>
      <t>араж</t>
    </r>
  </si>
  <si>
    <r>
      <t xml:space="preserve">           </t>
    </r>
    <r>
      <rPr>
        <b/>
        <sz val="30"/>
        <rFont val="Times New Roman"/>
        <family val="1"/>
      </rPr>
      <t>Лікарі всього:</t>
    </r>
  </si>
  <si>
    <r>
      <t xml:space="preserve">                                                                                                         С</t>
    </r>
    <r>
      <rPr>
        <b/>
        <sz val="30"/>
        <rFont val="Times New Roman"/>
        <family val="1"/>
      </rPr>
      <t>ередній персонал</t>
    </r>
  </si>
  <si>
    <r>
      <t>Всього по поліклініці</t>
    </r>
    <r>
      <rPr>
        <i/>
        <sz val="30"/>
        <rFont val="Times New Roman"/>
        <family val="1"/>
      </rPr>
      <t xml:space="preserve">:           </t>
    </r>
  </si>
  <si>
    <r>
      <t xml:space="preserve">                               лікарі</t>
    </r>
    <r>
      <rPr>
        <sz val="30"/>
        <rFont val="Times New Roman"/>
        <family val="1"/>
      </rPr>
      <t xml:space="preserve">:           </t>
    </r>
  </si>
  <si>
    <t>Бухгалтер з фінансового обліку</t>
  </si>
  <si>
    <t>Лікар-ендоскопіст б/кат.</t>
  </si>
  <si>
    <t>Лікар-епідеміолог Вища кат.</t>
  </si>
  <si>
    <t>Лікар-ортопед-травматолог І кат.</t>
  </si>
  <si>
    <t>Лікар- дерматовенеролог  б/кат.</t>
  </si>
  <si>
    <t>Сестра медична полік лініки (хірургічного кабінету)Вища</t>
  </si>
  <si>
    <t>Лікар анестезіолог Вища</t>
  </si>
  <si>
    <t>Разом :</t>
  </si>
  <si>
    <t>Категорія</t>
  </si>
  <si>
    <t>Лікар- психіатр  ІІ кат.</t>
  </si>
  <si>
    <t>Сестра медична полік лініки (уролога) ІІ кат.</t>
  </si>
  <si>
    <t>з 01.01.</t>
  </si>
  <si>
    <t>Електрогазозварник ІІІ розряд</t>
  </si>
  <si>
    <t>Лікар-кардіолог Вища кат.</t>
  </si>
  <si>
    <t>Сестра медична кабінету "Довіра"Вища кат.</t>
  </si>
  <si>
    <t>Сестра медична операційна б/кат.</t>
  </si>
  <si>
    <t>Лікар-хірург дитячий б/к</t>
  </si>
  <si>
    <t>Сестра медична  поліклініки (кардіолога) б/кат.</t>
  </si>
  <si>
    <t>Сестра медична з фізіотерапії б/ кат.</t>
  </si>
  <si>
    <t>Лікар хірург (ург.)  Вища кат.</t>
  </si>
  <si>
    <t>Рентгенлаборант б/кат.</t>
  </si>
  <si>
    <t>Сестра медична полікліні ки (ендоскопічного к-ту)б/ кат.</t>
  </si>
  <si>
    <t>Сестра медична полік лініки з стоматології І кат.</t>
  </si>
  <si>
    <t xml:space="preserve">Лікар-фтізіатр дитячий </t>
  </si>
  <si>
    <t>Завідувач господарством</t>
  </si>
  <si>
    <t>Підсобний працівник</t>
  </si>
  <si>
    <t>Касир</t>
  </si>
  <si>
    <t>з місячним фондом заробітної плати:</t>
  </si>
  <si>
    <t>Слюсар-сантехнік</t>
  </si>
  <si>
    <t>Сестра медична з дієтичного харчування   Вища кат.</t>
  </si>
  <si>
    <t>"ЗАТВЕРДЖУЮ"</t>
  </si>
  <si>
    <t>Сестра медична жіночої консультації Вища кат.</t>
  </si>
  <si>
    <t>Лікар уролог</t>
  </si>
  <si>
    <t>Лікар інтерн з хірургії</t>
  </si>
  <si>
    <t>Юристконсульт</t>
  </si>
  <si>
    <t>Фахівець з публічних закупівель</t>
  </si>
  <si>
    <t>Сестра медична кабінету профоглядів</t>
  </si>
  <si>
    <t>Сестра медична полікліні ки (психіатра) Вища кат.</t>
  </si>
  <si>
    <t>Лікар – стоматолог  І кат.</t>
  </si>
  <si>
    <t>Завідуючий жіночою консультацією І кат.</t>
  </si>
  <si>
    <t>Лікар акушер-гінеколог І кат.</t>
  </si>
  <si>
    <t xml:space="preserve">Сестра медична полік лініки (фтізіатра) туб кабю Вища </t>
  </si>
  <si>
    <t xml:space="preserve">Сестра медична з масажу Вища </t>
  </si>
  <si>
    <t xml:space="preserve">Завідувач терапевтичним відділенням лікар-терапевт Вища </t>
  </si>
  <si>
    <t xml:space="preserve">Завідувач клініко-діагностичною лабораторією Вища </t>
  </si>
  <si>
    <t>Лікар з функціональної діагностики Вища кат.</t>
  </si>
  <si>
    <t>Завідувач рентгенологічним відділенням І кат.</t>
  </si>
  <si>
    <t>Водій І клас(Тойота ХАЙ-ЕЙС)</t>
  </si>
  <si>
    <t>Водій І клас (Форд-С)</t>
  </si>
  <si>
    <t>Водій І клас (ГАЗ-2705)</t>
  </si>
  <si>
    <t>Водій І клас (ГАЗ-32214)</t>
  </si>
  <si>
    <t>Водій І клас (ВАЗ-2121 Нива)</t>
  </si>
  <si>
    <t>Водій І клас (Дачія -Solensa)</t>
  </si>
  <si>
    <t>Водій І клас( (САЗ-3502)</t>
  </si>
  <si>
    <t>неповною вищою мед. Освітою:</t>
  </si>
  <si>
    <t xml:space="preserve">Лікарі :             </t>
  </si>
  <si>
    <t xml:space="preserve">Інші :                </t>
  </si>
  <si>
    <t>Сестра медична стерилізації І кат.</t>
  </si>
  <si>
    <t xml:space="preserve">   </t>
  </si>
  <si>
    <t xml:space="preserve">Сестра медична  стаціонару (палатна) Вища </t>
  </si>
  <si>
    <t>Головна медична сестра Вища</t>
  </si>
  <si>
    <t>Лікар- хірург І кат.</t>
  </si>
  <si>
    <t>Старша сестра медична поліклініки І кат.</t>
  </si>
  <si>
    <t>Сестра медична полік лініки (процедурна) І кат.</t>
  </si>
  <si>
    <t>Сестра медична полік лініки  (нарколога)І кат.</t>
  </si>
  <si>
    <t>Сестра медична поліклі ніки (дерматовенеролога)Вища</t>
  </si>
  <si>
    <t>Акушерка жіночої консультації Вища кат.</t>
  </si>
  <si>
    <t>Сестра медична полікліні ки (отоларингологічного кабінету)б/кат.</t>
  </si>
  <si>
    <t>Сестра медична реєстратор І кат.</t>
  </si>
  <si>
    <t>Середні</t>
  </si>
  <si>
    <t>Молодша медсестра фізіотерапевтичного каінету</t>
  </si>
  <si>
    <t>Сестра медична І кат.</t>
  </si>
  <si>
    <t>підпис</t>
  </si>
  <si>
    <t>М.П.</t>
  </si>
  <si>
    <t>(число, місяць, рік)</t>
  </si>
  <si>
    <t>"ПОГОДЖЕНО"</t>
  </si>
  <si>
    <t>Тетіївська ЦЛ</t>
  </si>
  <si>
    <t>Старша сестра мед стаціонару б/кат.</t>
  </si>
  <si>
    <t>Сестра медична(процедурна) б/кат.</t>
  </si>
  <si>
    <t>Лікар профпатолог б/кат.</t>
  </si>
  <si>
    <t>Лікар терапевт Вища</t>
  </si>
  <si>
    <t xml:space="preserve">Інспектор по військовому обліку </t>
  </si>
  <si>
    <t>Лікар рентгенолог І кат.</t>
  </si>
  <si>
    <t>Лікар-ортопед- травматолог б/кат.</t>
  </si>
  <si>
    <t>Лікар хірург (ург.)  б/кат.</t>
  </si>
  <si>
    <t>Лікар фізіотерапевт б/кат.</t>
  </si>
  <si>
    <t>Лаборант клініко-діагност. лабораторії Ікат.</t>
  </si>
  <si>
    <r>
      <t xml:space="preserve">                                                                         </t>
    </r>
    <r>
      <rPr>
        <b/>
        <u val="single"/>
        <sz val="38"/>
        <rFont val="Times New Roman"/>
        <family val="1"/>
      </rPr>
      <t xml:space="preserve">        Відділення патанатомії</t>
    </r>
  </si>
  <si>
    <t>Медичний директор Вища кат.</t>
  </si>
  <si>
    <t>Сестра медична поліклініки (лікаря - профпатолога) Вища</t>
  </si>
  <si>
    <t>Сестра медична поліклініки (лікаря - терапевта) Вища</t>
  </si>
  <si>
    <t>Фасувальник медичних виробів</t>
  </si>
  <si>
    <t xml:space="preserve">Відділення екстренної медичної допомоги </t>
  </si>
  <si>
    <t>Старша сестра медична відділення екстренної медичної допомоги Вища кат.</t>
  </si>
  <si>
    <t>Сестра медична (денна) відділення екстренної медичної допомоги Вища кат.</t>
  </si>
  <si>
    <t>Сестра медична відділення екстренної медичної допомоги Вища кат.</t>
  </si>
  <si>
    <t>Сестра господиня відділення екстренної медичної допомоги</t>
  </si>
  <si>
    <t>Молодша медсестра (санітарка) відділення екстренної медичної допомоги</t>
  </si>
  <si>
    <t xml:space="preserve">Завідувач екстренної медичної допомоги, лікар з медицини невідкладних станів </t>
  </si>
  <si>
    <t xml:space="preserve">Лікар з медицини невідкладних станів </t>
  </si>
  <si>
    <t>2022 рік</t>
  </si>
  <si>
    <t>Лікар– інфекціоніст  КІЗ кабінету . ІІ кат.</t>
  </si>
  <si>
    <t xml:space="preserve">Директор  </t>
  </si>
  <si>
    <t>Всього:</t>
  </si>
  <si>
    <t>Відділення патанатомії</t>
  </si>
  <si>
    <t>ВСЬОГО: ПО КНП "Тетіївська ЦЛ "</t>
  </si>
  <si>
    <t>Агент постачання кисню</t>
  </si>
  <si>
    <t xml:space="preserve">Агент постачання </t>
  </si>
  <si>
    <t>Сестра медична(перев'язочна) б/кат.</t>
  </si>
  <si>
    <t xml:space="preserve">Сестра медична  лікарського кабінету Вища </t>
  </si>
  <si>
    <t>Молодша медична сестра (перев'язочна)</t>
  </si>
  <si>
    <t>За санітар ний автомобіль</t>
  </si>
  <si>
    <t>Шкідливі- сть</t>
  </si>
  <si>
    <t>Хірургічне відділення на 25 ліжок</t>
  </si>
  <si>
    <t>Заступник директора з поліклінічної роботи</t>
  </si>
  <si>
    <t xml:space="preserve">Лікар приймального </t>
  </si>
  <si>
    <t>Старша сестра медична  Вища кат.</t>
  </si>
  <si>
    <t>Документознавець</t>
  </si>
  <si>
    <t>Заступник директора з адміністративно управління</t>
  </si>
  <si>
    <t>Лікар нейрохірург</t>
  </si>
  <si>
    <t>Лікар акушер-гінеколог(ургентний)</t>
  </si>
  <si>
    <t>Лікар-хірург</t>
  </si>
  <si>
    <t>Лікар інтерн неврологія</t>
  </si>
  <si>
    <t>Лікар інтерн анестезіологія</t>
  </si>
  <si>
    <t>фармацевт І кат.</t>
  </si>
  <si>
    <t xml:space="preserve">                                                                              Терапевтичне відділення на 80 ліжок</t>
  </si>
  <si>
    <t>Лікар - невропатолог</t>
  </si>
  <si>
    <t>Лікар - інфекціоніст</t>
  </si>
  <si>
    <t>Лікар - педіатр</t>
  </si>
  <si>
    <t>Сестра медична (ургентна)</t>
  </si>
  <si>
    <t>Сестра медична процедурна Вища кат.</t>
  </si>
  <si>
    <t>Директор</t>
  </si>
  <si>
    <t>Дмитро ПОТІЄНКО</t>
  </si>
  <si>
    <t>Міський голова</t>
  </si>
  <si>
    <t>Богдан БАЛАГУРА</t>
  </si>
  <si>
    <t>штат в кількості 263,75 штатних одиниць</t>
  </si>
  <si>
    <t>штат в кількості 263,75  штатних одиниць</t>
  </si>
  <si>
    <t>один мільйон шістсот шістдесят сім тисяч вісімсот тридцять шість грн., 04 коп</t>
  </si>
  <si>
    <t>Комунального некомерційного підприємства "Тетіївська центральна лікарня" Тетіївської міської ради                                                                       з    17.10.2022  року</t>
  </si>
  <si>
    <t>додаток до рішення шістнадцятої сесії міфської ради VIII  скликання 27.099.2022 № 710-16-VIII</t>
  </si>
  <si>
    <t>Секретар міської ради</t>
  </si>
  <si>
    <t>Наталія ІВАНЮТА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</si>
</sst>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0.00000"/>
    <numFmt numFmtId="214" formatCode="0.0000"/>
    <numFmt numFmtId="215" formatCode="_-* #,##0_-;\-* #,##0_-;_-* &quot;-&quot;??_-;_-@_-"/>
    <numFmt numFmtId="216" formatCode="[$€-2]\ ###,000_);[Red]\([$€-2]\ ###,000\)"/>
    <numFmt numFmtId="217" formatCode="_-* #,##0.0\ _г_р_н_._-;\-* #,##0.0\ _г_р_н_._-;_-* &quot;-&quot;??\ _г_р_н_._-;_-@_-"/>
    <numFmt numFmtId="218" formatCode="_-* #,##0\ _г_р_н_._-;\-* #,##0\ _г_р_н_._-;_-* &quot;-&quot;??\ _г_р_н_._-;_-@_-"/>
    <numFmt numFmtId="219" formatCode="_-* #,##0.000\ _г_р_н_._-;\-* #,##0.000\ _г_р_н_._-;_-* &quot;-&quot;??\ _г_р_н_._-;_-@_-"/>
    <numFmt numFmtId="220" formatCode="0.000000"/>
    <numFmt numFmtId="221" formatCode="_-* #,##0.0_р_._-;\-* #,##0.0_р_._-;_-* &quot;-&quot;?_р_._-;_-@_-"/>
    <numFmt numFmtId="222" formatCode="#,##0.00\ _г_р_н_."/>
    <numFmt numFmtId="223" formatCode="#,##0.00_ ;\-#,##0.00\ "/>
    <numFmt numFmtId="224" formatCode="#,##0.0"/>
    <numFmt numFmtId="225" formatCode="#,##0.0&quot;₴&quot;"/>
  </numFmts>
  <fonts count="9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7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u val="single"/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b/>
      <u val="single"/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color indexed="10"/>
      <name val="Arial Cyr"/>
      <family val="0"/>
    </font>
    <font>
      <b/>
      <sz val="30"/>
      <name val="Arial Cyr"/>
      <family val="0"/>
    </font>
    <font>
      <b/>
      <i/>
      <sz val="30"/>
      <name val="Arial Cyr"/>
      <family val="0"/>
    </font>
    <font>
      <i/>
      <sz val="30"/>
      <name val="Arial Cyr"/>
      <family val="0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38"/>
      <name val="Times New Roman"/>
      <family val="1"/>
    </font>
    <font>
      <sz val="45"/>
      <name val="Arial Cyr"/>
      <family val="0"/>
    </font>
    <font>
      <sz val="38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26"/>
      <name val="Times New Roman"/>
      <family val="1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28"/>
      <name val="Times New Roman"/>
      <family val="1"/>
    </font>
    <font>
      <sz val="28"/>
      <name val="Times New Roman"/>
      <family val="1"/>
    </font>
    <font>
      <sz val="11"/>
      <name val="Arial Cyr"/>
      <family val="0"/>
    </font>
    <font>
      <b/>
      <u val="single"/>
      <sz val="30"/>
      <name val="Arial Cyr"/>
      <family val="0"/>
    </font>
    <font>
      <b/>
      <u val="single"/>
      <sz val="38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12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32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2" borderId="10" xfId="0" applyFont="1" applyFill="1" applyBorder="1" applyAlignment="1">
      <alignment vertical="center" wrapText="1"/>
    </xf>
    <xf numFmtId="0" fontId="26" fillId="32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/>
    </xf>
    <xf numFmtId="207" fontId="25" fillId="32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" fontId="25" fillId="32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4" fontId="26" fillId="32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4" fontId="26" fillId="0" borderId="15" xfId="0" applyNumberFormat="1" applyFont="1" applyBorder="1" applyAlignment="1">
      <alignment vertical="center" wrapText="1"/>
    </xf>
    <xf numFmtId="4" fontId="26" fillId="0" borderId="21" xfId="0" applyNumberFormat="1" applyFont="1" applyBorder="1" applyAlignment="1">
      <alignment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32" borderId="15" xfId="0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4" fontId="26" fillId="0" borderId="10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6" fillId="0" borderId="18" xfId="0" applyFont="1" applyBorder="1" applyAlignment="1">
      <alignment vertical="center" wrapText="1"/>
    </xf>
    <xf numFmtId="4" fontId="26" fillId="32" borderId="18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vertical="center"/>
    </xf>
    <xf numFmtId="4" fontId="26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16" xfId="0" applyFont="1" applyBorder="1" applyAlignment="1">
      <alignment horizontal="right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6" fillId="32" borderId="18" xfId="0" applyFont="1" applyFill="1" applyBorder="1" applyAlignment="1">
      <alignment horizontal="center" vertical="center" wrapText="1"/>
    </xf>
    <xf numFmtId="2" fontId="25" fillId="32" borderId="18" xfId="0" applyNumberFormat="1" applyFont="1" applyFill="1" applyBorder="1" applyAlignment="1">
      <alignment horizontal="center" vertical="center" wrapText="1"/>
    </xf>
    <xf numFmtId="207" fontId="25" fillId="32" borderId="18" xfId="0" applyNumberFormat="1" applyFont="1" applyFill="1" applyBorder="1" applyAlignment="1">
      <alignment horizontal="center" vertical="center" wrapText="1"/>
    </xf>
    <xf numFmtId="2" fontId="26" fillId="32" borderId="18" xfId="0" applyNumberFormat="1" applyFont="1" applyFill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/>
    </xf>
    <xf numFmtId="4" fontId="26" fillId="0" borderId="15" xfId="0" applyNumberFormat="1" applyFont="1" applyFill="1" applyBorder="1" applyAlignment="1">
      <alignment vertical="center" wrapText="1"/>
    </xf>
    <xf numFmtId="2" fontId="26" fillId="0" borderId="15" xfId="0" applyNumberFormat="1" applyFont="1" applyBorder="1" applyAlignment="1">
      <alignment vertical="center" wrapText="1"/>
    </xf>
    <xf numFmtId="4" fontId="26" fillId="0" borderId="15" xfId="0" applyNumberFormat="1" applyFont="1" applyFill="1" applyBorder="1" applyAlignment="1">
      <alignment vertical="center" wrapText="1"/>
    </xf>
    <xf numFmtId="2" fontId="26" fillId="0" borderId="15" xfId="0" applyNumberFormat="1" applyFont="1" applyBorder="1" applyAlignment="1">
      <alignment vertical="center" wrapText="1"/>
    </xf>
    <xf numFmtId="4" fontId="26" fillId="0" borderId="20" xfId="0" applyNumberFormat="1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 wrapText="1"/>
    </xf>
    <xf numFmtId="4" fontId="26" fillId="32" borderId="15" xfId="0" applyNumberFormat="1" applyFont="1" applyFill="1" applyBorder="1" applyAlignment="1">
      <alignment vertical="center" wrapText="1"/>
    </xf>
    <xf numFmtId="4" fontId="27" fillId="0" borderId="0" xfId="0" applyNumberFormat="1" applyFont="1" applyAlignment="1">
      <alignment vertical="center"/>
    </xf>
    <xf numFmtId="0" fontId="26" fillId="0" borderId="21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2" fontId="26" fillId="0" borderId="15" xfId="0" applyNumberFormat="1" applyFont="1" applyBorder="1" applyAlignment="1">
      <alignment horizontal="right" vertical="center" wrapText="1"/>
    </xf>
    <xf numFmtId="0" fontId="26" fillId="0" borderId="16" xfId="0" applyFont="1" applyBorder="1" applyAlignment="1">
      <alignment vertical="center" wrapText="1"/>
    </xf>
    <xf numFmtId="2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4" fontId="26" fillId="0" borderId="15" xfId="6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2" fontId="26" fillId="0" borderId="21" xfId="0" applyNumberFormat="1" applyFont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2" fontId="2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207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2" fontId="26" fillId="32" borderId="15" xfId="0" applyNumberFormat="1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4" fontId="26" fillId="0" borderId="23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26" fillId="0" borderId="15" xfId="6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2" fontId="26" fillId="0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203" fontId="25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203" fontId="26" fillId="0" borderId="0" xfId="6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03" fontId="25" fillId="0" borderId="0" xfId="60" applyFont="1" applyBorder="1" applyAlignment="1">
      <alignment horizontal="center" vertical="center" wrapText="1"/>
    </xf>
    <xf numFmtId="207" fontId="25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222" fontId="26" fillId="32" borderId="15" xfId="0" applyNumberFormat="1" applyFont="1" applyFill="1" applyBorder="1" applyAlignment="1">
      <alignment horizontal="center" vertical="center" wrapText="1"/>
    </xf>
    <xf numFmtId="222" fontId="26" fillId="0" borderId="23" xfId="0" applyNumberFormat="1" applyFont="1" applyBorder="1" applyAlignment="1">
      <alignment horizontal="center" vertical="center" wrapText="1"/>
    </xf>
    <xf numFmtId="222" fontId="26" fillId="0" borderId="0" xfId="0" applyNumberFormat="1" applyFont="1" applyBorder="1" applyAlignment="1">
      <alignment horizontal="center" vertical="center" wrapText="1"/>
    </xf>
    <xf numFmtId="222" fontId="26" fillId="0" borderId="0" xfId="0" applyNumberFormat="1" applyFont="1" applyFill="1" applyBorder="1" applyAlignment="1">
      <alignment horizontal="center" vertical="center" wrapText="1"/>
    </xf>
    <xf numFmtId="222" fontId="26" fillId="0" borderId="0" xfId="60" applyNumberFormat="1" applyFont="1" applyBorder="1" applyAlignment="1">
      <alignment horizontal="center" vertical="center" wrapText="1"/>
    </xf>
    <xf numFmtId="222" fontId="25" fillId="0" borderId="0" xfId="6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2" fontId="26" fillId="0" borderId="0" xfId="60" applyNumberFormat="1" applyFont="1" applyBorder="1" applyAlignment="1">
      <alignment horizontal="center" vertical="center" wrapText="1"/>
    </xf>
    <xf numFmtId="4" fontId="25" fillId="0" borderId="0" xfId="60" applyNumberFormat="1" applyFont="1" applyBorder="1" applyAlignment="1">
      <alignment horizontal="center" vertical="center" wrapText="1"/>
    </xf>
    <xf numFmtId="203" fontId="25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203" fontId="26" fillId="0" borderId="0" xfId="6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vertical="center"/>
    </xf>
    <xf numFmtId="4" fontId="38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" fontId="26" fillId="0" borderId="19" xfId="0" applyNumberFormat="1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03" fontId="25" fillId="0" borderId="0" xfId="60" applyFont="1" applyBorder="1" applyAlignment="1">
      <alignment horizontal="right" vertical="center" wrapText="1"/>
    </xf>
    <xf numFmtId="224" fontId="25" fillId="0" borderId="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25" fillId="0" borderId="15" xfId="6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4" fontId="25" fillId="0" borderId="0" xfId="0" applyNumberFormat="1" applyFont="1" applyFill="1" applyAlignment="1">
      <alignment vertical="center"/>
    </xf>
    <xf numFmtId="4" fontId="38" fillId="0" borderId="0" xfId="0" applyNumberFormat="1" applyFont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34" fillId="0" borderId="10" xfId="0" applyFont="1" applyBorder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0" fontId="28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24" fontId="0" fillId="0" borderId="0" xfId="0" applyNumberForma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vertical="center" wrapText="1"/>
    </xf>
    <xf numFmtId="224" fontId="16" fillId="0" borderId="24" xfId="0" applyNumberFormat="1" applyFont="1" applyBorder="1" applyAlignment="1">
      <alignment horizontal="center" vertical="center" wrapText="1"/>
    </xf>
    <xf numFmtId="207" fontId="16" fillId="0" borderId="24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24" fontId="8" fillId="0" borderId="24" xfId="0" applyNumberFormat="1" applyFont="1" applyBorder="1" applyAlignment="1">
      <alignment horizontal="center" vertical="center" wrapText="1"/>
    </xf>
    <xf numFmtId="207" fontId="8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07" fontId="8" fillId="0" borderId="26" xfId="6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2" fontId="26" fillId="33" borderId="15" xfId="0" applyNumberFormat="1" applyFont="1" applyFill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center" vertical="center" wrapText="1"/>
    </xf>
    <xf numFmtId="207" fontId="25" fillId="33" borderId="0" xfId="0" applyNumberFormat="1" applyFont="1" applyFill="1" applyBorder="1" applyAlignment="1">
      <alignment horizontal="center" vertical="center" wrapText="1"/>
    </xf>
    <xf numFmtId="2" fontId="25" fillId="33" borderId="23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26" fillId="33" borderId="15" xfId="0" applyNumberFormat="1" applyFont="1" applyFill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25" fillId="33" borderId="23" xfId="0" applyNumberFormat="1" applyFont="1" applyFill="1" applyBorder="1" applyAlignment="1">
      <alignment horizontal="center" vertical="center" wrapText="1"/>
    </xf>
    <xf numFmtId="2" fontId="26" fillId="33" borderId="18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Alignment="1">
      <alignment horizontal="center" vertical="center"/>
    </xf>
    <xf numFmtId="222" fontId="51" fillId="0" borderId="23" xfId="0" applyNumberFormat="1" applyFont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6" fillId="33" borderId="18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25" fillId="0" borderId="16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8" fillId="0" borderId="27" xfId="0" applyNumberFormat="1" applyFont="1" applyBorder="1" applyAlignment="1">
      <alignment horizontal="center" vertical="center" wrapText="1"/>
    </xf>
    <xf numFmtId="4" fontId="95" fillId="0" borderId="10" xfId="0" applyNumberFormat="1" applyFont="1" applyBorder="1" applyAlignment="1">
      <alignment horizontal="right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 vertical="center"/>
    </xf>
    <xf numFmtId="0" fontId="52" fillId="0" borderId="15" xfId="0" applyFont="1" applyBorder="1" applyAlignment="1">
      <alignment vertical="center" wrapText="1"/>
    </xf>
    <xf numFmtId="0" fontId="52" fillId="32" borderId="15" xfId="0" applyFont="1" applyFill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/>
    </xf>
    <xf numFmtId="4" fontId="26" fillId="0" borderId="11" xfId="0" applyNumberFormat="1" applyFont="1" applyBorder="1" applyAlignment="1">
      <alignment horizontal="center" vertical="center" wrapText="1"/>
    </xf>
    <xf numFmtId="2" fontId="26" fillId="33" borderId="18" xfId="0" applyNumberFormat="1" applyFont="1" applyFill="1" applyBorder="1" applyAlignment="1">
      <alignment horizontal="center" vertical="center" wrapText="1"/>
    </xf>
    <xf numFmtId="2" fontId="38" fillId="33" borderId="0" xfId="0" applyNumberFormat="1" applyFont="1" applyFill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4" fontId="25" fillId="32" borderId="0" xfId="6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203" fontId="25" fillId="0" borderId="10" xfId="60" applyFont="1" applyBorder="1" applyAlignment="1">
      <alignment horizontal="center" vertical="center" wrapText="1"/>
    </xf>
    <xf numFmtId="203" fontId="26" fillId="0" borderId="10" xfId="6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2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0" fontId="57" fillId="0" borderId="0" xfId="0" applyFont="1" applyAlignment="1">
      <alignment horizontal="justify" vertical="center"/>
    </xf>
    <xf numFmtId="4" fontId="57" fillId="0" borderId="0" xfId="0" applyNumberFormat="1" applyFont="1" applyAlignment="1">
      <alignment horizontal="right" vertical="center"/>
    </xf>
    <xf numFmtId="4" fontId="57" fillId="0" borderId="0" xfId="0" applyNumberFormat="1" applyFont="1" applyFill="1" applyAlignment="1">
      <alignment horizontal="right" vertical="center"/>
    </xf>
    <xf numFmtId="0" fontId="52" fillId="0" borderId="0" xfId="0" applyFont="1" applyAlignment="1">
      <alignment vertical="center"/>
    </xf>
    <xf numFmtId="0" fontId="8" fillId="0" borderId="24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/>
    </xf>
    <xf numFmtId="4" fontId="26" fillId="0" borderId="21" xfId="0" applyNumberFormat="1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5" fillId="33" borderId="17" xfId="0" applyNumberFormat="1" applyFont="1" applyFill="1" applyBorder="1" applyAlignment="1">
      <alignment horizontal="center" vertical="center" wrapText="1"/>
    </xf>
    <xf numFmtId="2" fontId="30" fillId="33" borderId="0" xfId="0" applyNumberFormat="1" applyFont="1" applyFill="1" applyAlignment="1" applyProtection="1">
      <alignment horizontal="center" vertical="center"/>
      <protection locked="0"/>
    </xf>
    <xf numFmtId="2" fontId="25" fillId="33" borderId="18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Alignment="1">
      <alignment horizontal="center" vertical="center"/>
    </xf>
    <xf numFmtId="2" fontId="26" fillId="33" borderId="0" xfId="0" applyNumberFormat="1" applyFont="1" applyFill="1" applyAlignment="1">
      <alignment horizontal="center" vertical="center"/>
    </xf>
    <xf numFmtId="2" fontId="52" fillId="33" borderId="0" xfId="0" applyNumberFormat="1" applyFont="1" applyFill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2" fontId="33" fillId="33" borderId="0" xfId="0" applyNumberFormat="1" applyFont="1" applyFill="1" applyAlignment="1">
      <alignment horizontal="center" vertical="center"/>
    </xf>
    <xf numFmtId="2" fontId="26" fillId="33" borderId="19" xfId="0" applyNumberFormat="1" applyFont="1" applyFill="1" applyBorder="1" applyAlignment="1">
      <alignment horizontal="center" vertical="center" wrapText="1"/>
    </xf>
    <xf numFmtId="2" fontId="95" fillId="33" borderId="10" xfId="0" applyNumberFormat="1" applyFont="1" applyFill="1" applyBorder="1" applyAlignment="1">
      <alignment horizontal="center" vertical="center" wrapText="1"/>
    </xf>
    <xf numFmtId="2" fontId="26" fillId="33" borderId="10" xfId="60" applyNumberFormat="1" applyFont="1" applyFill="1" applyBorder="1" applyAlignment="1">
      <alignment horizontal="center" vertical="center" wrapText="1"/>
    </xf>
    <xf numFmtId="2" fontId="25" fillId="33" borderId="10" xfId="60" applyNumberFormat="1" applyFont="1" applyFill="1" applyBorder="1" applyAlignment="1">
      <alignment horizontal="center" vertical="center"/>
    </xf>
    <xf numFmtId="2" fontId="25" fillId="33" borderId="17" xfId="60" applyNumberFormat="1" applyFont="1" applyFill="1" applyBorder="1" applyAlignment="1">
      <alignment horizontal="center" vertical="center"/>
    </xf>
    <xf numFmtId="2" fontId="25" fillId="33" borderId="21" xfId="60" applyNumberFormat="1" applyFont="1" applyFill="1" applyBorder="1" applyAlignment="1">
      <alignment horizontal="center" vertical="center"/>
    </xf>
    <xf numFmtId="2" fontId="25" fillId="33" borderId="0" xfId="6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 wrapText="1"/>
    </xf>
    <xf numFmtId="2" fontId="35" fillId="33" borderId="0" xfId="0" applyNumberFormat="1" applyFont="1" applyFill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/>
    </xf>
    <xf numFmtId="2" fontId="25" fillId="33" borderId="0" xfId="0" applyNumberFormat="1" applyFont="1" applyFill="1" applyAlignment="1">
      <alignment horizontal="center" vertical="center"/>
    </xf>
    <xf numFmtId="2" fontId="40" fillId="33" borderId="0" xfId="0" applyNumberFormat="1" applyFont="1" applyFill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2" fontId="26" fillId="33" borderId="20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right" vertical="center" wrapText="1"/>
    </xf>
    <xf numFmtId="0" fontId="52" fillId="33" borderId="15" xfId="0" applyFont="1" applyFill="1" applyBorder="1" applyAlignment="1">
      <alignment vertical="center" wrapText="1"/>
    </xf>
    <xf numFmtId="0" fontId="26" fillId="33" borderId="15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right" vertical="center" wrapText="1"/>
    </xf>
    <xf numFmtId="0" fontId="26" fillId="33" borderId="15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25" fillId="33" borderId="18" xfId="0" applyNumberFormat="1" applyFont="1" applyFill="1" applyBorder="1" applyAlignment="1">
      <alignment horizontal="center" vertical="center" wrapText="1"/>
    </xf>
    <xf numFmtId="1" fontId="25" fillId="33" borderId="15" xfId="0" applyNumberFormat="1" applyFont="1" applyFill="1" applyBorder="1" applyAlignment="1">
      <alignment horizontal="center" vertical="center" wrapText="1"/>
    </xf>
    <xf numFmtId="1" fontId="29" fillId="33" borderId="15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Border="1" applyAlignment="1">
      <alignment vertical="center"/>
    </xf>
    <xf numFmtId="4" fontId="26" fillId="0" borderId="18" xfId="0" applyNumberFormat="1" applyFont="1" applyFill="1" applyBorder="1" applyAlignment="1">
      <alignment vertical="center" wrapText="1"/>
    </xf>
    <xf numFmtId="4" fontId="26" fillId="0" borderId="18" xfId="0" applyNumberFormat="1" applyFont="1" applyFill="1" applyBorder="1" applyAlignment="1">
      <alignment vertical="center" wrapText="1"/>
    </xf>
    <xf numFmtId="4" fontId="26" fillId="0" borderId="18" xfId="0" applyNumberFormat="1" applyFont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2" fontId="21" fillId="33" borderId="0" xfId="0" applyNumberFormat="1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2" fontId="28" fillId="33" borderId="20" xfId="0" applyNumberFormat="1" applyFont="1" applyFill="1" applyBorder="1" applyAlignment="1">
      <alignment horizontal="center" vertical="center" wrapText="1"/>
    </xf>
    <xf numFmtId="2" fontId="28" fillId="33" borderId="16" xfId="0" applyNumberFormat="1" applyFont="1" applyFill="1" applyBorder="1" applyAlignment="1">
      <alignment horizontal="center" vertical="center" wrapText="1"/>
    </xf>
    <xf numFmtId="2" fontId="29" fillId="33" borderId="20" xfId="0" applyNumberFormat="1" applyFont="1" applyFill="1" applyBorder="1" applyAlignment="1">
      <alignment horizontal="center" vertical="center" wrapText="1"/>
    </xf>
    <xf numFmtId="2" fontId="29" fillId="33" borderId="28" xfId="0" applyNumberFormat="1" applyFont="1" applyFill="1" applyBorder="1" applyAlignment="1">
      <alignment horizontal="center" vertical="center" wrapText="1"/>
    </xf>
    <xf numFmtId="2" fontId="29" fillId="33" borderId="16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left" vertical="center" wrapText="1"/>
    </xf>
    <xf numFmtId="2" fontId="26" fillId="33" borderId="20" xfId="0" applyNumberFormat="1" applyFont="1" applyFill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4" fontId="27" fillId="0" borderId="20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 vertical="center"/>
    </xf>
    <xf numFmtId="2" fontId="34" fillId="32" borderId="29" xfId="0" applyNumberFormat="1" applyFont="1" applyFill="1" applyBorder="1" applyAlignment="1">
      <alignment horizontal="center" vertical="center"/>
    </xf>
    <xf numFmtId="2" fontId="34" fillId="32" borderId="11" xfId="0" applyNumberFormat="1" applyFont="1" applyFill="1" applyBorder="1" applyAlignment="1">
      <alignment horizontal="center" vertical="center"/>
    </xf>
    <xf numFmtId="2" fontId="34" fillId="32" borderId="18" xfId="0" applyNumberFormat="1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2" fontId="34" fillId="0" borderId="29" xfId="0" applyNumberFormat="1" applyFont="1" applyFill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/>
    </xf>
    <xf numFmtId="2" fontId="34" fillId="0" borderId="18" xfId="0" applyNumberFormat="1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8" fillId="33" borderId="3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6:AC440"/>
  <sheetViews>
    <sheetView tabSelected="1" view="pageBreakPreview" zoomScale="40" zoomScaleNormal="75" zoomScaleSheetLayoutView="40" zoomScalePageLayoutView="0" workbookViewId="0" topLeftCell="A1">
      <pane ySplit="9" topLeftCell="A10" activePane="bottomLeft" state="frozen"/>
      <selection pane="topLeft" activeCell="A1" sqref="A1"/>
      <selection pane="bottomLeft" activeCell="O6" sqref="O6:Q6"/>
    </sheetView>
  </sheetViews>
  <sheetFormatPr defaultColWidth="9.00390625" defaultRowHeight="12.75"/>
  <cols>
    <col min="1" max="1" width="11.375" style="4" customWidth="1"/>
    <col min="2" max="2" width="77.25390625" style="4" customWidth="1"/>
    <col min="3" max="3" width="20.25390625" style="370" customWidth="1"/>
    <col min="4" max="4" width="27.625" style="4" customWidth="1"/>
    <col min="5" max="5" width="24.625" style="4" customWidth="1"/>
    <col min="6" max="6" width="24.25390625" style="4" customWidth="1"/>
    <col min="7" max="7" width="26.00390625" style="4" customWidth="1"/>
    <col min="8" max="8" width="23.75390625" style="4" customWidth="1"/>
    <col min="9" max="9" width="24.75390625" style="4" customWidth="1"/>
    <col min="10" max="10" width="23.75390625" style="4" customWidth="1"/>
    <col min="11" max="11" width="26.875" style="4" customWidth="1"/>
    <col min="12" max="12" width="26.375" style="4" customWidth="1"/>
    <col min="13" max="13" width="20.125" style="4" customWidth="1"/>
    <col min="14" max="14" width="26.25390625" style="4" customWidth="1"/>
    <col min="15" max="15" width="24.875" style="4" customWidth="1"/>
    <col min="16" max="16" width="26.75390625" style="4" customWidth="1"/>
    <col min="17" max="17" width="39.625" style="4" customWidth="1"/>
    <col min="18" max="18" width="20.25390625" style="4" customWidth="1"/>
    <col min="19" max="19" width="13.25390625" style="4" bestFit="1" customWidth="1"/>
    <col min="20" max="16384" width="9.125" style="4" customWidth="1"/>
  </cols>
  <sheetData>
    <row r="1" ht="12.75"/>
    <row r="2" ht="12.75"/>
    <row r="3" ht="0.75" customHeight="1"/>
    <row r="4" ht="12.75" hidden="1"/>
    <row r="5" ht="29.25" customHeight="1" hidden="1"/>
    <row r="6" ht="64.5" customHeight="1">
      <c r="O6" s="5" t="s">
        <v>328</v>
      </c>
    </row>
    <row r="7" spans="1:18" ht="24" customHeight="1">
      <c r="A7" s="423" t="s">
        <v>1</v>
      </c>
      <c r="B7" s="423" t="s">
        <v>2</v>
      </c>
      <c r="C7" s="429" t="s">
        <v>3</v>
      </c>
      <c r="D7" s="423" t="s">
        <v>12</v>
      </c>
      <c r="E7" s="431" t="s">
        <v>101</v>
      </c>
      <c r="F7" s="432"/>
      <c r="G7" s="432"/>
      <c r="H7" s="432"/>
      <c r="I7" s="432"/>
      <c r="J7" s="433"/>
      <c r="K7" s="434" t="s">
        <v>102</v>
      </c>
      <c r="L7" s="431" t="s">
        <v>103</v>
      </c>
      <c r="M7" s="432"/>
      <c r="N7" s="432"/>
      <c r="O7" s="422" t="s">
        <v>106</v>
      </c>
      <c r="P7" s="422"/>
      <c r="Q7" s="423" t="s">
        <v>4</v>
      </c>
      <c r="R7" s="423" t="s">
        <v>5</v>
      </c>
    </row>
    <row r="8" spans="1:18" ht="125.25" customHeight="1">
      <c r="A8" s="424"/>
      <c r="B8" s="424"/>
      <c r="C8" s="430"/>
      <c r="D8" s="424"/>
      <c r="E8" s="21" t="s">
        <v>6</v>
      </c>
      <c r="F8" s="21" t="s">
        <v>108</v>
      </c>
      <c r="G8" s="21" t="s">
        <v>197</v>
      </c>
      <c r="H8" s="21" t="s">
        <v>301</v>
      </c>
      <c r="I8" s="21" t="s">
        <v>300</v>
      </c>
      <c r="J8" s="21" t="s">
        <v>181</v>
      </c>
      <c r="K8" s="435"/>
      <c r="L8" s="21" t="s">
        <v>104</v>
      </c>
      <c r="M8" s="21" t="s">
        <v>105</v>
      </c>
      <c r="N8" s="21" t="s">
        <v>97</v>
      </c>
      <c r="O8" s="21" t="s">
        <v>107</v>
      </c>
      <c r="P8" s="21" t="s">
        <v>176</v>
      </c>
      <c r="Q8" s="424"/>
      <c r="R8" s="424"/>
    </row>
    <row r="9" spans="1:18" ht="25.5">
      <c r="A9" s="25">
        <v>1</v>
      </c>
      <c r="B9" s="26">
        <v>2</v>
      </c>
      <c r="C9" s="410">
        <v>3</v>
      </c>
      <c r="D9" s="26">
        <v>4</v>
      </c>
      <c r="E9" s="26">
        <v>5</v>
      </c>
      <c r="F9" s="27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</row>
    <row r="10" spans="1:18" ht="26.25">
      <c r="A10" s="425" t="s">
        <v>178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24"/>
      <c r="O10" s="20"/>
      <c r="P10" s="20"/>
      <c r="Q10" s="20"/>
      <c r="R10" s="20"/>
    </row>
    <row r="11" spans="1:18" ht="26.25">
      <c r="A11" s="427" t="s">
        <v>11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24"/>
      <c r="O11" s="20"/>
      <c r="P11" s="20"/>
      <c r="Q11" s="20"/>
      <c r="R11" s="20"/>
    </row>
    <row r="12" spans="1:18" ht="26.25">
      <c r="A12" s="436" t="s">
        <v>179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24"/>
      <c r="O12" s="20"/>
      <c r="P12" s="20"/>
      <c r="Q12" s="20"/>
      <c r="R12" s="20"/>
    </row>
    <row r="13" spans="1:18" ht="7.5" customHeight="1">
      <c r="A13" s="427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4"/>
      <c r="O13" s="20"/>
      <c r="P13" s="20"/>
      <c r="Q13" s="20"/>
      <c r="R13" s="20"/>
    </row>
    <row r="14" spans="1:18" ht="8.25" customHeight="1" hidden="1">
      <c r="A14" s="23"/>
      <c r="B14" s="24"/>
      <c r="C14" s="37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0"/>
      <c r="P14" s="20"/>
      <c r="Q14" s="20"/>
      <c r="R14" s="20"/>
    </row>
    <row r="15" spans="1:18" ht="46.5" customHeight="1">
      <c r="A15" s="29">
        <f>(A14+1)</f>
        <v>1</v>
      </c>
      <c r="B15" s="30" t="s">
        <v>291</v>
      </c>
      <c r="C15" s="302">
        <v>1</v>
      </c>
      <c r="D15" s="312">
        <v>27000</v>
      </c>
      <c r="E15" s="31"/>
      <c r="F15" s="31"/>
      <c r="G15" s="31"/>
      <c r="H15" s="31"/>
      <c r="I15" s="31"/>
      <c r="J15" s="31">
        <f>(D15+G15)*15%</f>
        <v>4050</v>
      </c>
      <c r="K15" s="31">
        <f aca="true" t="shared" si="0" ref="K15:K20">SUM(D15:J15)</f>
        <v>31050</v>
      </c>
      <c r="L15" s="31"/>
      <c r="M15" s="31"/>
      <c r="N15" s="31">
        <f>K15*10%</f>
        <v>3105</v>
      </c>
      <c r="O15" s="31"/>
      <c r="P15" s="31"/>
      <c r="Q15" s="32">
        <f aca="true" t="shared" si="1" ref="Q15:Q20">SUM(K15:P15)*C15</f>
        <v>34155</v>
      </c>
      <c r="R15" s="33" t="s">
        <v>74</v>
      </c>
    </row>
    <row r="16" spans="1:20" ht="58.5" customHeight="1">
      <c r="A16" s="29">
        <f>(A15+1)</f>
        <v>2</v>
      </c>
      <c r="B16" s="34" t="s">
        <v>277</v>
      </c>
      <c r="C16" s="302">
        <v>1</v>
      </c>
      <c r="D16" s="312">
        <v>23400</v>
      </c>
      <c r="E16" s="31"/>
      <c r="F16" s="31"/>
      <c r="G16" s="31">
        <v>1298.96</v>
      </c>
      <c r="H16" s="31"/>
      <c r="I16" s="31"/>
      <c r="J16" s="31">
        <f>(D16+G16)*15%</f>
        <v>3704.8439999999996</v>
      </c>
      <c r="K16" s="31">
        <f t="shared" si="0"/>
        <v>28403.804</v>
      </c>
      <c r="L16" s="31"/>
      <c r="M16" s="31"/>
      <c r="N16" s="31">
        <f>K16*30%</f>
        <v>8521.1412</v>
      </c>
      <c r="O16" s="31"/>
      <c r="P16" s="31"/>
      <c r="Q16" s="32">
        <f t="shared" si="1"/>
        <v>36924.9452</v>
      </c>
      <c r="R16" s="35" t="s">
        <v>74</v>
      </c>
      <c r="T16" s="4" t="s">
        <v>100</v>
      </c>
    </row>
    <row r="17" spans="1:18" ht="76.5">
      <c r="A17" s="29">
        <v>3</v>
      </c>
      <c r="B17" s="34" t="s">
        <v>303</v>
      </c>
      <c r="C17" s="302">
        <v>1</v>
      </c>
      <c r="D17" s="312">
        <v>23400</v>
      </c>
      <c r="E17" s="31"/>
      <c r="F17" s="31"/>
      <c r="G17" s="31">
        <v>1298.96</v>
      </c>
      <c r="H17" s="31"/>
      <c r="I17" s="31"/>
      <c r="J17" s="31"/>
      <c r="K17" s="31">
        <f t="shared" si="0"/>
        <v>24698.96</v>
      </c>
      <c r="L17" s="31"/>
      <c r="M17" s="31"/>
      <c r="N17" s="31">
        <f>K17*30%</f>
        <v>7409.687999999999</v>
      </c>
      <c r="O17" s="31"/>
      <c r="P17" s="31"/>
      <c r="Q17" s="32">
        <f t="shared" si="1"/>
        <v>32108.647999999997</v>
      </c>
      <c r="R17" s="35" t="s">
        <v>74</v>
      </c>
    </row>
    <row r="18" spans="1:18" ht="76.5">
      <c r="A18" s="29">
        <v>4</v>
      </c>
      <c r="B18" s="34" t="s">
        <v>307</v>
      </c>
      <c r="C18" s="302">
        <v>1</v>
      </c>
      <c r="D18" s="312">
        <v>23400</v>
      </c>
      <c r="E18" s="31"/>
      <c r="F18" s="31"/>
      <c r="G18" s="31"/>
      <c r="H18" s="31"/>
      <c r="I18" s="31"/>
      <c r="J18" s="31"/>
      <c r="K18" s="31">
        <f t="shared" si="0"/>
        <v>23400</v>
      </c>
      <c r="L18" s="31"/>
      <c r="M18" s="31"/>
      <c r="N18" s="31"/>
      <c r="O18" s="31"/>
      <c r="P18" s="31"/>
      <c r="Q18" s="32">
        <f t="shared" si="1"/>
        <v>23400</v>
      </c>
      <c r="R18" s="35" t="s">
        <v>74</v>
      </c>
    </row>
    <row r="19" spans="1:18" ht="38.25">
      <c r="A19" s="29">
        <v>5</v>
      </c>
      <c r="B19" s="34" t="s">
        <v>213</v>
      </c>
      <c r="C19" s="302">
        <v>1</v>
      </c>
      <c r="D19" s="31">
        <v>4455</v>
      </c>
      <c r="E19" s="31"/>
      <c r="F19" s="31"/>
      <c r="G19" s="31"/>
      <c r="H19" s="31"/>
      <c r="I19" s="31"/>
      <c r="J19" s="31"/>
      <c r="K19" s="31">
        <f t="shared" si="0"/>
        <v>4455</v>
      </c>
      <c r="L19" s="31"/>
      <c r="M19" s="31"/>
      <c r="N19" s="31"/>
      <c r="O19" s="31"/>
      <c r="P19" s="31"/>
      <c r="Q19" s="32">
        <f t="shared" si="1"/>
        <v>4455</v>
      </c>
      <c r="R19" s="35">
        <v>7</v>
      </c>
    </row>
    <row r="20" spans="1:18" ht="38.25">
      <c r="A20" s="29">
        <v>6</v>
      </c>
      <c r="B20" s="34" t="s">
        <v>0</v>
      </c>
      <c r="C20" s="302">
        <v>1</v>
      </c>
      <c r="D20" s="31">
        <v>5265</v>
      </c>
      <c r="E20" s="31"/>
      <c r="F20" s="31"/>
      <c r="G20" s="31"/>
      <c r="H20" s="31"/>
      <c r="I20" s="31"/>
      <c r="J20" s="31"/>
      <c r="K20" s="31">
        <f t="shared" si="0"/>
        <v>5265</v>
      </c>
      <c r="L20" s="31"/>
      <c r="M20" s="31"/>
      <c r="N20" s="31"/>
      <c r="O20" s="31"/>
      <c r="P20" s="31"/>
      <c r="Q20" s="32">
        <f t="shared" si="1"/>
        <v>5265</v>
      </c>
      <c r="R20" s="35">
        <v>10</v>
      </c>
    </row>
    <row r="21" spans="1:18" ht="58.5" customHeight="1">
      <c r="A21" s="30"/>
      <c r="B21" s="113" t="s">
        <v>18</v>
      </c>
      <c r="C21" s="299">
        <f>SUM(C15:C20)</f>
        <v>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>
        <f>SUM(Q15:Q20)</f>
        <v>136308.5932</v>
      </c>
      <c r="R21" s="40"/>
    </row>
    <row r="22" spans="1:18" ht="60.75" customHeight="1">
      <c r="A22" s="41" t="s">
        <v>244</v>
      </c>
      <c r="B22" s="42"/>
      <c r="C22" s="372">
        <f>C16+C17</f>
        <v>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69">
        <f>Q16+Q17</f>
        <v>69033.5932</v>
      </c>
      <c r="R22" s="44"/>
    </row>
    <row r="23" spans="1:18" ht="63" customHeight="1">
      <c r="A23" s="41" t="s">
        <v>245</v>
      </c>
      <c r="B23" s="45"/>
      <c r="C23" s="300">
        <f>C15+C19+C20+C18</f>
        <v>4</v>
      </c>
      <c r="D23" s="45"/>
      <c r="E23" s="45"/>
      <c r="F23" s="45"/>
      <c r="G23" s="45" t="s">
        <v>76</v>
      </c>
      <c r="H23" s="45"/>
      <c r="I23" s="45"/>
      <c r="J23" s="45"/>
      <c r="K23" s="45"/>
      <c r="L23" s="46"/>
      <c r="M23" s="45"/>
      <c r="N23" s="45"/>
      <c r="O23" s="45"/>
      <c r="P23" s="45"/>
      <c r="Q23" s="47">
        <f>Q15+Q19+Q20</f>
        <v>43875</v>
      </c>
      <c r="R23" s="48"/>
    </row>
    <row r="24" spans="1:18" ht="94.5" customHeight="1">
      <c r="A24" s="49"/>
      <c r="B24" s="49"/>
      <c r="C24" s="373" t="s">
        <v>182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36" customHeight="1">
      <c r="A25" s="50">
        <v>1</v>
      </c>
      <c r="B25" s="51">
        <v>2</v>
      </c>
      <c r="C25" s="411">
        <v>3</v>
      </c>
      <c r="D25" s="51">
        <v>4</v>
      </c>
      <c r="E25" s="51">
        <v>5</v>
      </c>
      <c r="F25" s="51">
        <v>6</v>
      </c>
      <c r="G25" s="51">
        <v>7</v>
      </c>
      <c r="H25" s="51">
        <v>8</v>
      </c>
      <c r="I25" s="51">
        <v>9</v>
      </c>
      <c r="J25" s="51">
        <v>10</v>
      </c>
      <c r="K25" s="51">
        <v>11</v>
      </c>
      <c r="L25" s="51">
        <v>12</v>
      </c>
      <c r="M25" s="51">
        <v>13</v>
      </c>
      <c r="N25" s="51">
        <v>14</v>
      </c>
      <c r="O25" s="51">
        <v>15</v>
      </c>
      <c r="P25" s="51">
        <v>16</v>
      </c>
      <c r="Q25" s="51">
        <v>17</v>
      </c>
      <c r="R25" s="51">
        <v>18</v>
      </c>
    </row>
    <row r="26" spans="1:18" ht="45" customHeight="1">
      <c r="A26" s="52">
        <v>1</v>
      </c>
      <c r="B26" s="53" t="s">
        <v>13</v>
      </c>
      <c r="C26" s="295">
        <v>0.5</v>
      </c>
      <c r="D26" s="54">
        <v>4745</v>
      </c>
      <c r="E26" s="55"/>
      <c r="F26" s="55"/>
      <c r="G26" s="55"/>
      <c r="H26" s="55"/>
      <c r="I26" s="55"/>
      <c r="J26" s="55"/>
      <c r="K26" s="55">
        <f>SUM(D26:J26)</f>
        <v>4745</v>
      </c>
      <c r="L26" s="55"/>
      <c r="M26" s="55"/>
      <c r="N26" s="55"/>
      <c r="O26" s="55"/>
      <c r="P26" s="55"/>
      <c r="Q26" s="32">
        <f aca="true" t="shared" si="2" ref="Q26:Q48">SUM(K26:P26)*C26</f>
        <v>2372.5</v>
      </c>
      <c r="R26" s="56">
        <v>8</v>
      </c>
    </row>
    <row r="27" spans="1:18" ht="41.25" customHeight="1">
      <c r="A27" s="52">
        <v>2</v>
      </c>
      <c r="B27" s="53" t="s">
        <v>223</v>
      </c>
      <c r="C27" s="295">
        <v>1</v>
      </c>
      <c r="D27" s="54">
        <v>5265</v>
      </c>
      <c r="E27" s="55"/>
      <c r="F27" s="55"/>
      <c r="G27" s="55"/>
      <c r="H27" s="55"/>
      <c r="I27" s="55"/>
      <c r="J27" s="55"/>
      <c r="K27" s="55">
        <f>SUM(D27:J27)</f>
        <v>5265</v>
      </c>
      <c r="L27" s="55"/>
      <c r="M27" s="55"/>
      <c r="N27" s="55"/>
      <c r="O27" s="55"/>
      <c r="P27" s="55"/>
      <c r="Q27" s="32">
        <f t="shared" si="2"/>
        <v>5265</v>
      </c>
      <c r="R27" s="56">
        <v>10</v>
      </c>
    </row>
    <row r="28" spans="1:18" ht="76.5">
      <c r="A28" s="52">
        <v>3</v>
      </c>
      <c r="B28" s="53" t="s">
        <v>175</v>
      </c>
      <c r="C28" s="295">
        <v>0.5</v>
      </c>
      <c r="D28" s="54">
        <v>5265</v>
      </c>
      <c r="E28" s="55"/>
      <c r="F28" s="55"/>
      <c r="G28" s="55"/>
      <c r="H28" s="55"/>
      <c r="I28" s="55"/>
      <c r="J28" s="55"/>
      <c r="K28" s="55">
        <f>D28+E28+F28+G28+H28+I28+J28</f>
        <v>5265</v>
      </c>
      <c r="L28" s="55"/>
      <c r="M28" s="55"/>
      <c r="N28" s="55"/>
      <c r="O28" s="55"/>
      <c r="P28" s="55"/>
      <c r="Q28" s="32">
        <f t="shared" si="2"/>
        <v>2632.5</v>
      </c>
      <c r="R28" s="56">
        <v>10</v>
      </c>
    </row>
    <row r="29" spans="1:18" ht="76.5">
      <c r="A29" s="52">
        <v>4</v>
      </c>
      <c r="B29" s="30" t="s">
        <v>270</v>
      </c>
      <c r="C29" s="302">
        <v>0.5</v>
      </c>
      <c r="D29" s="32">
        <v>4195</v>
      </c>
      <c r="E29" s="32"/>
      <c r="F29" s="32"/>
      <c r="G29" s="32"/>
      <c r="H29" s="32" t="s">
        <v>76</v>
      </c>
      <c r="I29" s="32"/>
      <c r="J29" s="32"/>
      <c r="K29" s="31">
        <f>SUM(D29:J29)</f>
        <v>4195</v>
      </c>
      <c r="L29" s="32"/>
      <c r="M29" s="32"/>
      <c r="N29" s="32"/>
      <c r="O29" s="32"/>
      <c r="P29" s="32"/>
      <c r="Q29" s="32">
        <f t="shared" si="2"/>
        <v>2097.5</v>
      </c>
      <c r="R29" s="33">
        <v>6</v>
      </c>
    </row>
    <row r="30" spans="1:18" ht="76.5">
      <c r="A30" s="52">
        <v>5</v>
      </c>
      <c r="B30" s="53" t="s">
        <v>224</v>
      </c>
      <c r="C30" s="295">
        <v>1</v>
      </c>
      <c r="D30" s="54">
        <v>5265</v>
      </c>
      <c r="E30" s="55"/>
      <c r="F30" s="55"/>
      <c r="G30" s="55"/>
      <c r="H30" s="55"/>
      <c r="I30" s="55"/>
      <c r="J30" s="55"/>
      <c r="K30" s="55">
        <f>D30+E30+F30+G30+H30+I30+J30</f>
        <v>5265</v>
      </c>
      <c r="L30" s="55"/>
      <c r="M30" s="55"/>
      <c r="N30" s="55"/>
      <c r="O30" s="55"/>
      <c r="P30" s="55"/>
      <c r="Q30" s="32">
        <f t="shared" si="2"/>
        <v>5265</v>
      </c>
      <c r="R30" s="56">
        <v>10</v>
      </c>
    </row>
    <row r="31" spans="1:18" ht="38.25">
      <c r="A31" s="52">
        <v>6</v>
      </c>
      <c r="B31" s="53" t="s">
        <v>306</v>
      </c>
      <c r="C31" s="295">
        <v>0.5</v>
      </c>
      <c r="D31" s="54">
        <v>5265</v>
      </c>
      <c r="E31" s="55"/>
      <c r="F31" s="55"/>
      <c r="G31" s="55"/>
      <c r="H31" s="55"/>
      <c r="I31" s="55"/>
      <c r="J31" s="55"/>
      <c r="K31" s="55">
        <f>D31+E31+F31+G31+H31+I31+J31</f>
        <v>5265</v>
      </c>
      <c r="L31" s="55"/>
      <c r="M31" s="55"/>
      <c r="N31" s="55"/>
      <c r="O31" s="55"/>
      <c r="P31" s="55"/>
      <c r="Q31" s="32">
        <f t="shared" si="2"/>
        <v>2632.5</v>
      </c>
      <c r="R31" s="56">
        <v>10</v>
      </c>
    </row>
    <row r="32" spans="1:18" ht="39.75" customHeight="1">
      <c r="A32" s="52">
        <v>7</v>
      </c>
      <c r="B32" s="53" t="s">
        <v>88</v>
      </c>
      <c r="C32" s="295">
        <v>1</v>
      </c>
      <c r="D32" s="54">
        <v>4455</v>
      </c>
      <c r="E32" s="55"/>
      <c r="F32" s="55"/>
      <c r="G32" s="55"/>
      <c r="H32" s="55"/>
      <c r="I32" s="55"/>
      <c r="J32" s="55"/>
      <c r="K32" s="55">
        <f>D32+E32+F32+G32+H32+I32+J32</f>
        <v>4455</v>
      </c>
      <c r="L32" s="55"/>
      <c r="M32" s="55"/>
      <c r="N32" s="55"/>
      <c r="O32" s="55"/>
      <c r="P32" s="55"/>
      <c r="Q32" s="32">
        <f t="shared" si="2"/>
        <v>4455</v>
      </c>
      <c r="R32" s="56">
        <v>7</v>
      </c>
    </row>
    <row r="33" spans="1:18" ht="39.75" customHeight="1">
      <c r="A33" s="52">
        <v>8</v>
      </c>
      <c r="B33" s="53" t="s">
        <v>99</v>
      </c>
      <c r="C33" s="295">
        <v>1</v>
      </c>
      <c r="D33" s="55">
        <v>3674</v>
      </c>
      <c r="E33" s="55"/>
      <c r="F33" s="55"/>
      <c r="G33" s="55"/>
      <c r="H33" s="55"/>
      <c r="I33" s="55"/>
      <c r="J33" s="55"/>
      <c r="K33" s="55">
        <f aca="true" t="shared" si="3" ref="K33:K48">SUM(D33:J33)</f>
        <v>3674</v>
      </c>
      <c r="L33" s="55"/>
      <c r="M33" s="55"/>
      <c r="N33" s="55"/>
      <c r="O33" s="55"/>
      <c r="P33" s="55"/>
      <c r="Q33" s="32">
        <f t="shared" si="2"/>
        <v>3674</v>
      </c>
      <c r="R33" s="56">
        <v>4</v>
      </c>
    </row>
    <row r="34" spans="1:18" ht="39.75" customHeight="1">
      <c r="A34" s="52">
        <v>9</v>
      </c>
      <c r="B34" s="53" t="s">
        <v>173</v>
      </c>
      <c r="C34" s="295">
        <v>1</v>
      </c>
      <c r="D34" s="55">
        <v>3934</v>
      </c>
      <c r="E34" s="55"/>
      <c r="F34" s="55"/>
      <c r="G34" s="55"/>
      <c r="H34" s="55"/>
      <c r="I34" s="55"/>
      <c r="J34" s="55"/>
      <c r="K34" s="55">
        <f t="shared" si="3"/>
        <v>3934</v>
      </c>
      <c r="L34" s="55"/>
      <c r="M34" s="55"/>
      <c r="N34" s="55"/>
      <c r="O34" s="55"/>
      <c r="P34" s="55"/>
      <c r="Q34" s="32">
        <f t="shared" si="2"/>
        <v>3934</v>
      </c>
      <c r="R34" s="56">
        <v>5</v>
      </c>
    </row>
    <row r="35" spans="1:18" ht="39.75" customHeight="1">
      <c r="A35" s="52">
        <v>10</v>
      </c>
      <c r="B35" s="53" t="s">
        <v>14</v>
      </c>
      <c r="C35" s="295">
        <v>0.5</v>
      </c>
      <c r="D35" s="55">
        <v>3674</v>
      </c>
      <c r="E35" s="55"/>
      <c r="F35" s="55"/>
      <c r="G35" s="55"/>
      <c r="H35" s="55"/>
      <c r="I35" s="55"/>
      <c r="J35" s="55"/>
      <c r="K35" s="55">
        <f t="shared" si="3"/>
        <v>3674</v>
      </c>
      <c r="L35" s="55"/>
      <c r="M35" s="55"/>
      <c r="N35" s="55"/>
      <c r="O35" s="55"/>
      <c r="P35" s="55"/>
      <c r="Q35" s="32">
        <f t="shared" si="2"/>
        <v>1837</v>
      </c>
      <c r="R35" s="56">
        <v>4</v>
      </c>
    </row>
    <row r="36" spans="1:18" ht="39.75" customHeight="1">
      <c r="A36" s="52">
        <v>11</v>
      </c>
      <c r="B36" s="400" t="s">
        <v>214</v>
      </c>
      <c r="C36" s="295">
        <v>1</v>
      </c>
      <c r="D36" s="55">
        <v>2893</v>
      </c>
      <c r="E36" s="55"/>
      <c r="F36" s="55"/>
      <c r="G36" s="55"/>
      <c r="H36" s="55"/>
      <c r="I36" s="55"/>
      <c r="J36" s="55"/>
      <c r="K36" s="55">
        <f t="shared" si="3"/>
        <v>2893</v>
      </c>
      <c r="L36" s="55"/>
      <c r="M36" s="55"/>
      <c r="N36" s="55"/>
      <c r="O36" s="57"/>
      <c r="P36" s="55"/>
      <c r="Q36" s="32">
        <f t="shared" si="2"/>
        <v>2893</v>
      </c>
      <c r="R36" s="56">
        <v>1</v>
      </c>
    </row>
    <row r="37" spans="1:18" ht="76.5">
      <c r="A37" s="52">
        <v>12</v>
      </c>
      <c r="B37" s="30" t="s">
        <v>15</v>
      </c>
      <c r="C37" s="302">
        <v>2</v>
      </c>
      <c r="D37" s="32">
        <v>3414</v>
      </c>
      <c r="E37" s="58"/>
      <c r="F37" s="58"/>
      <c r="G37" s="58"/>
      <c r="H37" s="32"/>
      <c r="I37" s="58"/>
      <c r="J37" s="58"/>
      <c r="K37" s="32">
        <f t="shared" si="3"/>
        <v>3414</v>
      </c>
      <c r="L37" s="58"/>
      <c r="M37" s="58"/>
      <c r="N37" s="58"/>
      <c r="O37" s="59"/>
      <c r="P37" s="55"/>
      <c r="Q37" s="32">
        <f t="shared" si="2"/>
        <v>6828</v>
      </c>
      <c r="R37" s="40">
        <v>3</v>
      </c>
    </row>
    <row r="38" spans="1:18" ht="62.25" customHeight="1">
      <c r="A38" s="52">
        <v>13</v>
      </c>
      <c r="B38" s="30" t="s">
        <v>85</v>
      </c>
      <c r="C38" s="302">
        <v>3</v>
      </c>
      <c r="D38" s="32">
        <v>2893</v>
      </c>
      <c r="E38" s="32"/>
      <c r="F38" s="32"/>
      <c r="G38" s="32"/>
      <c r="H38" s="32"/>
      <c r="I38" s="32"/>
      <c r="J38" s="32"/>
      <c r="K38" s="32">
        <f t="shared" si="3"/>
        <v>2893</v>
      </c>
      <c r="L38" s="32"/>
      <c r="M38" s="32"/>
      <c r="N38" s="32"/>
      <c r="O38" s="59"/>
      <c r="P38" s="55"/>
      <c r="Q38" s="32">
        <f t="shared" si="2"/>
        <v>8679</v>
      </c>
      <c r="R38" s="40">
        <v>1</v>
      </c>
    </row>
    <row r="39" spans="1:18" ht="39.75" customHeight="1">
      <c r="A39" s="52">
        <v>14</v>
      </c>
      <c r="B39" s="30" t="s">
        <v>16</v>
      </c>
      <c r="C39" s="302">
        <v>1.75</v>
      </c>
      <c r="D39" s="32">
        <v>3153</v>
      </c>
      <c r="E39" s="32"/>
      <c r="F39" s="32"/>
      <c r="G39" s="32"/>
      <c r="H39" s="32"/>
      <c r="I39" s="32"/>
      <c r="J39" s="32"/>
      <c r="K39" s="32">
        <f t="shared" si="3"/>
        <v>3153</v>
      </c>
      <c r="L39" s="32"/>
      <c r="M39" s="32"/>
      <c r="N39" s="32"/>
      <c r="O39" s="59"/>
      <c r="P39" s="55"/>
      <c r="Q39" s="32">
        <f t="shared" si="2"/>
        <v>5517.75</v>
      </c>
      <c r="R39" s="40">
        <v>2</v>
      </c>
    </row>
    <row r="40" spans="1:18" ht="76.5">
      <c r="A40" s="52">
        <v>15</v>
      </c>
      <c r="B40" s="30" t="s">
        <v>17</v>
      </c>
      <c r="C40" s="302">
        <v>1</v>
      </c>
      <c r="D40" s="32">
        <v>4195</v>
      </c>
      <c r="E40" s="32"/>
      <c r="F40" s="32"/>
      <c r="G40" s="32"/>
      <c r="H40" s="32"/>
      <c r="I40" s="32"/>
      <c r="J40" s="32"/>
      <c r="K40" s="32">
        <f t="shared" si="3"/>
        <v>4195</v>
      </c>
      <c r="L40" s="32"/>
      <c r="M40" s="32"/>
      <c r="N40" s="32"/>
      <c r="O40" s="59"/>
      <c r="P40" s="55"/>
      <c r="Q40" s="32">
        <f t="shared" si="2"/>
        <v>4195</v>
      </c>
      <c r="R40" s="40">
        <v>6</v>
      </c>
    </row>
    <row r="41" spans="1:18" ht="54.75" customHeight="1">
      <c r="A41" s="52">
        <v>16</v>
      </c>
      <c r="B41" s="30" t="s">
        <v>217</v>
      </c>
      <c r="C41" s="302">
        <v>2.75</v>
      </c>
      <c r="D41" s="32">
        <v>3934</v>
      </c>
      <c r="E41" s="58"/>
      <c r="F41" s="58"/>
      <c r="G41" s="58"/>
      <c r="H41" s="32"/>
      <c r="I41" s="58"/>
      <c r="J41" s="58"/>
      <c r="K41" s="32">
        <f t="shared" si="3"/>
        <v>3934</v>
      </c>
      <c r="L41" s="58"/>
      <c r="M41" s="58"/>
      <c r="N41" s="58"/>
      <c r="O41" s="59">
        <f>K41*12%</f>
        <v>472.08</v>
      </c>
      <c r="P41" s="55"/>
      <c r="Q41" s="32">
        <f t="shared" si="2"/>
        <v>12116.72</v>
      </c>
      <c r="R41" s="40">
        <v>5</v>
      </c>
    </row>
    <row r="42" spans="1:18" ht="57.75" customHeight="1">
      <c r="A42" s="52">
        <v>17</v>
      </c>
      <c r="B42" s="53" t="s">
        <v>86</v>
      </c>
      <c r="C42" s="295">
        <v>1</v>
      </c>
      <c r="D42" s="55">
        <v>4455</v>
      </c>
      <c r="E42" s="55"/>
      <c r="F42" s="55"/>
      <c r="G42" s="60"/>
      <c r="H42" s="60"/>
      <c r="I42" s="55"/>
      <c r="J42" s="55"/>
      <c r="K42" s="55">
        <f t="shared" si="3"/>
        <v>4455</v>
      </c>
      <c r="L42" s="55"/>
      <c r="M42" s="55"/>
      <c r="N42" s="55"/>
      <c r="O42" s="57"/>
      <c r="P42" s="55"/>
      <c r="Q42" s="32">
        <f t="shared" si="2"/>
        <v>4455</v>
      </c>
      <c r="R42" s="56">
        <v>7</v>
      </c>
    </row>
    <row r="43" spans="1:18" ht="55.5" customHeight="1">
      <c r="A43" s="52">
        <v>18</v>
      </c>
      <c r="B43" s="61" t="s">
        <v>129</v>
      </c>
      <c r="C43" s="396">
        <v>1</v>
      </c>
      <c r="D43" s="55">
        <v>3934</v>
      </c>
      <c r="E43" s="62"/>
      <c r="F43" s="62"/>
      <c r="G43" s="62"/>
      <c r="H43" s="62"/>
      <c r="I43" s="62"/>
      <c r="J43" s="62"/>
      <c r="K43" s="55">
        <f t="shared" si="3"/>
        <v>3934</v>
      </c>
      <c r="L43" s="62"/>
      <c r="M43" s="62"/>
      <c r="N43" s="62"/>
      <c r="O43" s="321"/>
      <c r="P43" s="55"/>
      <c r="Q43" s="32">
        <f t="shared" si="2"/>
        <v>3934</v>
      </c>
      <c r="R43" s="63">
        <v>5</v>
      </c>
    </row>
    <row r="44" spans="1:18" ht="49.5" customHeight="1">
      <c r="A44" s="52">
        <v>19</v>
      </c>
      <c r="B44" s="64" t="s">
        <v>295</v>
      </c>
      <c r="C44" s="302">
        <v>0.5</v>
      </c>
      <c r="D44" s="55">
        <v>3674</v>
      </c>
      <c r="E44" s="32"/>
      <c r="F44" s="32"/>
      <c r="G44" s="32"/>
      <c r="H44" s="32"/>
      <c r="I44" s="32"/>
      <c r="J44" s="32"/>
      <c r="K44" s="55">
        <f t="shared" si="3"/>
        <v>3674</v>
      </c>
      <c r="L44" s="32"/>
      <c r="M44" s="32"/>
      <c r="N44" s="32"/>
      <c r="O44" s="59">
        <f>K44*12%</f>
        <v>440.88</v>
      </c>
      <c r="P44" s="55"/>
      <c r="Q44" s="32">
        <f t="shared" si="2"/>
        <v>2057.44</v>
      </c>
      <c r="R44" s="40">
        <v>4</v>
      </c>
    </row>
    <row r="45" spans="1:18" ht="49.5" customHeight="1">
      <c r="A45" s="52">
        <v>20</v>
      </c>
      <c r="B45" s="64" t="s">
        <v>296</v>
      </c>
      <c r="C45" s="295">
        <v>0.25</v>
      </c>
      <c r="D45" s="55">
        <v>3674</v>
      </c>
      <c r="E45" s="55"/>
      <c r="F45" s="55"/>
      <c r="G45" s="55"/>
      <c r="H45" s="55"/>
      <c r="I45" s="55"/>
      <c r="J45" s="55"/>
      <c r="K45" s="55">
        <f t="shared" si="3"/>
        <v>3674</v>
      </c>
      <c r="L45" s="366"/>
      <c r="M45" s="32"/>
      <c r="N45" s="55"/>
      <c r="O45" s="59">
        <f>K45*12%</f>
        <v>440.88</v>
      </c>
      <c r="P45" s="55"/>
      <c r="Q45" s="32">
        <f t="shared" si="2"/>
        <v>1028.72</v>
      </c>
      <c r="R45" s="56">
        <v>4</v>
      </c>
    </row>
    <row r="46" spans="1:18" ht="71.25" customHeight="1">
      <c r="A46" s="52">
        <v>21</v>
      </c>
      <c r="B46" s="66" t="s">
        <v>201</v>
      </c>
      <c r="C46" s="295">
        <v>0.5</v>
      </c>
      <c r="D46" s="55">
        <v>3414</v>
      </c>
      <c r="E46" s="67"/>
      <c r="F46" s="67"/>
      <c r="G46" s="67"/>
      <c r="H46" s="55"/>
      <c r="I46" s="67"/>
      <c r="J46" s="67"/>
      <c r="K46" s="55">
        <f t="shared" si="3"/>
        <v>3414</v>
      </c>
      <c r="L46" s="68"/>
      <c r="M46" s="58"/>
      <c r="N46" s="67"/>
      <c r="O46" s="57">
        <f>K46*12%</f>
        <v>409.68</v>
      </c>
      <c r="P46" s="55"/>
      <c r="Q46" s="32">
        <f t="shared" si="2"/>
        <v>1911.84</v>
      </c>
      <c r="R46" s="56">
        <v>3</v>
      </c>
    </row>
    <row r="47" spans="1:18" ht="21" customHeight="1" hidden="1">
      <c r="A47" s="52">
        <v>20</v>
      </c>
      <c r="B47" s="76"/>
      <c r="C47" s="303"/>
      <c r="D47" s="69"/>
      <c r="E47" s="70"/>
      <c r="F47" s="70"/>
      <c r="G47" s="70"/>
      <c r="H47" s="71"/>
      <c r="I47" s="70"/>
      <c r="J47" s="70"/>
      <c r="K47" s="69">
        <f t="shared" si="3"/>
        <v>0</v>
      </c>
      <c r="L47" s="70"/>
      <c r="M47" s="70"/>
      <c r="N47" s="70"/>
      <c r="O47" s="72"/>
      <c r="P47" s="70"/>
      <c r="Q47" s="32">
        <f t="shared" si="2"/>
        <v>0</v>
      </c>
      <c r="R47" s="74"/>
    </row>
    <row r="48" spans="1:18" ht="39" customHeight="1" hidden="1">
      <c r="A48" s="52">
        <v>21</v>
      </c>
      <c r="B48" s="76" t="s">
        <v>214</v>
      </c>
      <c r="C48" s="303"/>
      <c r="D48" s="69"/>
      <c r="E48" s="70"/>
      <c r="F48" s="70"/>
      <c r="G48" s="70"/>
      <c r="H48" s="73"/>
      <c r="I48" s="70"/>
      <c r="J48" s="70"/>
      <c r="K48" s="69">
        <f t="shared" si="3"/>
        <v>0</v>
      </c>
      <c r="L48" s="70"/>
      <c r="M48" s="70"/>
      <c r="N48" s="70"/>
      <c r="O48" s="72"/>
      <c r="P48" s="70"/>
      <c r="Q48" s="32">
        <f t="shared" si="2"/>
        <v>0</v>
      </c>
      <c r="R48" s="74">
        <v>1</v>
      </c>
    </row>
    <row r="49" spans="1:18" ht="80.25" customHeight="1">
      <c r="A49" s="77"/>
      <c r="B49" s="78" t="s">
        <v>18</v>
      </c>
      <c r="C49" s="296">
        <f>C48+C46+C44+C43+C42+C41+C40+C39+C38+C37+C36+C35+C34+C33+C32+C28+C26+C30+C27+C29+C45+C31</f>
        <v>22.25</v>
      </c>
      <c r="D49" s="322">
        <f>D48+D46+D44+D43+D42+D41+D40+D39+D38+D37+D36+D35+D34+D33+D32+D28+D26+D30</f>
        <v>66971</v>
      </c>
      <c r="E49" s="322"/>
      <c r="F49" s="322"/>
      <c r="G49" s="322"/>
      <c r="H49" s="322"/>
      <c r="I49" s="322"/>
      <c r="J49" s="322"/>
      <c r="K49" s="322">
        <f>K48+K46+K44+K43+K42+K41+K40+K39+K38+K37+K36+K35+K34+K33+K32+K28+K26+K30+K29+K45</f>
        <v>74840</v>
      </c>
      <c r="L49" s="322"/>
      <c r="M49" s="322"/>
      <c r="N49" s="322"/>
      <c r="O49" s="322"/>
      <c r="P49" s="322"/>
      <c r="Q49" s="322">
        <f>Q26+Q27+Q28+Q30+Q32+Q33+Q34+Q35+Q36+Q37+Q38+Q39+Q40+Q41+Q42+Q43+Q44+Q46+Q48+Q29+Q45</f>
        <v>85148.97</v>
      </c>
      <c r="R49" s="74"/>
    </row>
    <row r="50" spans="1:18" ht="25.5" hidden="1">
      <c r="A50" s="28"/>
      <c r="B50" s="20"/>
      <c r="C50" s="37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25.5" hidden="1">
      <c r="A51" s="28"/>
      <c r="B51" s="20"/>
      <c r="C51" s="37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10.25" customHeight="1">
      <c r="A52" s="437" t="s">
        <v>74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</row>
    <row r="53" spans="1:18" ht="38.25" hidden="1">
      <c r="A53" s="80"/>
      <c r="B53" s="49"/>
      <c r="C53" s="375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29" s="7" customFormat="1" ht="37.5">
      <c r="A54" s="50">
        <v>1</v>
      </c>
      <c r="B54" s="51">
        <v>2</v>
      </c>
      <c r="C54" s="411">
        <v>3</v>
      </c>
      <c r="D54" s="51">
        <v>4</v>
      </c>
      <c r="E54" s="51">
        <v>5</v>
      </c>
      <c r="F54" s="51">
        <v>6</v>
      </c>
      <c r="G54" s="51">
        <v>7</v>
      </c>
      <c r="H54" s="51">
        <v>8</v>
      </c>
      <c r="I54" s="51">
        <v>9</v>
      </c>
      <c r="J54" s="51">
        <v>10</v>
      </c>
      <c r="K54" s="51">
        <v>11</v>
      </c>
      <c r="L54" s="51">
        <v>12</v>
      </c>
      <c r="M54" s="51">
        <v>13</v>
      </c>
      <c r="N54" s="51">
        <v>14</v>
      </c>
      <c r="O54" s="51">
        <v>15</v>
      </c>
      <c r="P54" s="51">
        <v>16</v>
      </c>
      <c r="Q54" s="51">
        <v>17</v>
      </c>
      <c r="R54" s="51">
        <v>18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3" customFormat="1" ht="76.5">
      <c r="A55" s="81">
        <v>1</v>
      </c>
      <c r="B55" s="82" t="s">
        <v>87</v>
      </c>
      <c r="C55" s="303">
        <v>0.75</v>
      </c>
      <c r="D55" s="69">
        <v>3153</v>
      </c>
      <c r="E55" s="69"/>
      <c r="F55" s="69"/>
      <c r="G55" s="69"/>
      <c r="H55" s="83">
        <f>D55*20%</f>
        <v>630.6</v>
      </c>
      <c r="I55" s="69"/>
      <c r="J55" s="69"/>
      <c r="K55" s="69">
        <f>SUM(D55:J55)</f>
        <v>3783.6</v>
      </c>
      <c r="L55" s="69"/>
      <c r="M55" s="69"/>
      <c r="N55" s="69"/>
      <c r="O55" s="69">
        <f>K55*12%</f>
        <v>454.032</v>
      </c>
      <c r="P55" s="74"/>
      <c r="Q55" s="73">
        <f>SUM(K55:P55)*C55</f>
        <v>3178.2239999999997</v>
      </c>
      <c r="R55" s="74">
        <v>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38.25">
      <c r="A56" s="438" t="s">
        <v>18</v>
      </c>
      <c r="B56" s="439"/>
      <c r="C56" s="304">
        <f>SUM(C55:C55)</f>
        <v>0.75</v>
      </c>
      <c r="D56" s="84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85">
        <f>Q55</f>
        <v>3178.2239999999997</v>
      </c>
      <c r="R56" s="5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3.75" customHeight="1">
      <c r="A57" s="246"/>
      <c r="B57" s="246"/>
      <c r="C57" s="305"/>
      <c r="D57" s="158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292"/>
      <c r="R57" s="161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18" ht="68.25" customHeight="1">
      <c r="A58" s="437" t="s">
        <v>50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</row>
    <row r="59" spans="1:18" ht="3.75" customHeight="1">
      <c r="A59" s="80"/>
      <c r="B59" s="49"/>
      <c r="C59" s="375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37.5">
      <c r="A60" s="50">
        <v>1</v>
      </c>
      <c r="B60" s="51">
        <v>2</v>
      </c>
      <c r="C60" s="411">
        <v>3</v>
      </c>
      <c r="D60" s="51">
        <v>4</v>
      </c>
      <c r="E60" s="51">
        <v>5</v>
      </c>
      <c r="F60" s="51">
        <v>6</v>
      </c>
      <c r="G60" s="51">
        <v>7</v>
      </c>
      <c r="H60" s="51">
        <v>8</v>
      </c>
      <c r="I60" s="51">
        <v>9</v>
      </c>
      <c r="J60" s="51">
        <v>10</v>
      </c>
      <c r="K60" s="51">
        <v>11</v>
      </c>
      <c r="L60" s="51">
        <v>12</v>
      </c>
      <c r="M60" s="51">
        <v>13</v>
      </c>
      <c r="N60" s="51">
        <v>14</v>
      </c>
      <c r="O60" s="51">
        <v>15</v>
      </c>
      <c r="P60" s="51">
        <v>16</v>
      </c>
      <c r="Q60" s="51">
        <v>17</v>
      </c>
      <c r="R60" s="51">
        <v>18</v>
      </c>
    </row>
    <row r="61" spans="1:18" ht="44.25" customHeight="1">
      <c r="A61" s="75">
        <v>1</v>
      </c>
      <c r="B61" s="53" t="s">
        <v>174</v>
      </c>
      <c r="C61" s="295">
        <v>1</v>
      </c>
      <c r="D61" s="55">
        <v>3414</v>
      </c>
      <c r="E61" s="55"/>
      <c r="F61" s="55"/>
      <c r="G61" s="55"/>
      <c r="H61" s="55"/>
      <c r="I61" s="55"/>
      <c r="J61" s="55"/>
      <c r="K61" s="55">
        <f>SUM(D61:J61)</f>
        <v>3414</v>
      </c>
      <c r="L61" s="55"/>
      <c r="M61" s="55"/>
      <c r="N61" s="55"/>
      <c r="O61" s="55">
        <f>K61*12%</f>
        <v>409.68</v>
      </c>
      <c r="P61" s="84"/>
      <c r="Q61" s="32">
        <f>SUM(K61:P61)*C61</f>
        <v>3823.68</v>
      </c>
      <c r="R61" s="56">
        <v>3</v>
      </c>
    </row>
    <row r="62" spans="1:18" ht="51" customHeight="1">
      <c r="A62" s="75">
        <v>2</v>
      </c>
      <c r="B62" s="53" t="s">
        <v>19</v>
      </c>
      <c r="C62" s="295">
        <v>1.5</v>
      </c>
      <c r="D62" s="55">
        <v>3674</v>
      </c>
      <c r="E62" s="55"/>
      <c r="F62" s="55"/>
      <c r="G62" s="55"/>
      <c r="H62" s="55"/>
      <c r="I62" s="55"/>
      <c r="J62" s="55"/>
      <c r="K62" s="55">
        <f>SUM(D62:J62)</f>
        <v>3674</v>
      </c>
      <c r="L62" s="55"/>
      <c r="M62" s="55"/>
      <c r="N62" s="55"/>
      <c r="O62" s="55">
        <f>K62*12%</f>
        <v>440.88</v>
      </c>
      <c r="P62" s="84"/>
      <c r="Q62" s="32">
        <f>SUM(K62:P62)*C62</f>
        <v>6172.32</v>
      </c>
      <c r="R62" s="56">
        <v>4</v>
      </c>
    </row>
    <row r="63" spans="1:18" ht="42.75" customHeight="1">
      <c r="A63" s="75">
        <v>3</v>
      </c>
      <c r="B63" s="53" t="s">
        <v>20</v>
      </c>
      <c r="C63" s="295">
        <v>1.5</v>
      </c>
      <c r="D63" s="55">
        <v>3153</v>
      </c>
      <c r="E63" s="55"/>
      <c r="F63" s="55"/>
      <c r="G63" s="55"/>
      <c r="H63" s="55"/>
      <c r="I63" s="55"/>
      <c r="J63" s="55"/>
      <c r="K63" s="55">
        <f>SUM(D63:J63)</f>
        <v>3153</v>
      </c>
      <c r="L63" s="55"/>
      <c r="M63" s="55"/>
      <c r="N63" s="55"/>
      <c r="O63" s="55"/>
      <c r="P63" s="84"/>
      <c r="Q63" s="32">
        <f>SUM(K63:P63)*C63</f>
        <v>4729.5</v>
      </c>
      <c r="R63" s="56">
        <v>2</v>
      </c>
    </row>
    <row r="64" spans="1:18" ht="29.25" customHeight="1">
      <c r="A64" s="438" t="s">
        <v>18</v>
      </c>
      <c r="B64" s="439"/>
      <c r="C64" s="304">
        <f>SUM(C61:C63)</f>
        <v>4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>
        <f>SUM(Q61:Q63)</f>
        <v>14725.5</v>
      </c>
      <c r="R64" s="56"/>
    </row>
    <row r="65" spans="1:18" ht="33.75" customHeight="1" hidden="1">
      <c r="A65" s="49"/>
      <c r="B65" s="49"/>
      <c r="C65" s="375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33.75" customHeight="1" hidden="1">
      <c r="A66" s="49"/>
      <c r="B66" s="49"/>
      <c r="C66" s="375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33.75" customHeight="1">
      <c r="A67" s="446" t="s">
        <v>184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</row>
    <row r="68" spans="1:18" ht="32.25" customHeight="1">
      <c r="A68" s="80"/>
      <c r="B68" s="49"/>
      <c r="C68" s="37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33.75" customHeight="1">
      <c r="A69" s="50">
        <v>1</v>
      </c>
      <c r="B69" s="51">
        <v>2</v>
      </c>
      <c r="C69" s="411">
        <v>3</v>
      </c>
      <c r="D69" s="51">
        <v>4</v>
      </c>
      <c r="E69" s="51">
        <v>5</v>
      </c>
      <c r="F69" s="51">
        <v>6</v>
      </c>
      <c r="G69" s="51">
        <v>7</v>
      </c>
      <c r="H69" s="51">
        <v>8</v>
      </c>
      <c r="I69" s="51">
        <v>9</v>
      </c>
      <c r="J69" s="51">
        <v>10</v>
      </c>
      <c r="K69" s="51">
        <v>11</v>
      </c>
      <c r="L69" s="51">
        <v>12</v>
      </c>
      <c r="M69" s="51">
        <v>13</v>
      </c>
      <c r="N69" s="51">
        <v>14</v>
      </c>
      <c r="O69" s="51">
        <v>15</v>
      </c>
      <c r="P69" s="51">
        <v>16</v>
      </c>
      <c r="Q69" s="51">
        <v>17</v>
      </c>
      <c r="R69" s="51">
        <v>18</v>
      </c>
    </row>
    <row r="70" spans="1:18" ht="48" customHeight="1">
      <c r="A70" s="52">
        <v>1</v>
      </c>
      <c r="B70" s="53" t="s">
        <v>21</v>
      </c>
      <c r="C70" s="295">
        <v>0.5</v>
      </c>
      <c r="D70" s="55">
        <v>4455</v>
      </c>
      <c r="E70" s="55"/>
      <c r="F70" s="55"/>
      <c r="G70" s="55"/>
      <c r="H70" s="55"/>
      <c r="I70" s="55"/>
      <c r="J70" s="55"/>
      <c r="K70" s="55">
        <f>SUM(D70:J70)</f>
        <v>4455</v>
      </c>
      <c r="L70" s="55"/>
      <c r="M70" s="55"/>
      <c r="N70" s="55"/>
      <c r="O70" s="55"/>
      <c r="P70" s="84"/>
      <c r="Q70" s="32">
        <f>SUM(K70:P70)*C70</f>
        <v>2227.5</v>
      </c>
      <c r="R70" s="74">
        <v>7</v>
      </c>
    </row>
    <row r="71" spans="1:18" ht="90.75" customHeight="1">
      <c r="A71" s="52">
        <v>2</v>
      </c>
      <c r="B71" s="53" t="s">
        <v>236</v>
      </c>
      <c r="C71" s="295">
        <v>1</v>
      </c>
      <c r="D71" s="55">
        <v>3674</v>
      </c>
      <c r="E71" s="55"/>
      <c r="F71" s="55"/>
      <c r="G71" s="55"/>
      <c r="H71" s="55"/>
      <c r="I71" s="55">
        <f aca="true" t="shared" si="4" ref="I71:I77">D71*20%</f>
        <v>734.8000000000001</v>
      </c>
      <c r="J71" s="55"/>
      <c r="K71" s="55">
        <f>SUM(D71:J71)</f>
        <v>4408.8</v>
      </c>
      <c r="L71" s="55"/>
      <c r="M71" s="69">
        <f>D71*25%</f>
        <v>918.5</v>
      </c>
      <c r="N71" s="55"/>
      <c r="O71" s="55"/>
      <c r="P71" s="84"/>
      <c r="Q71" s="32">
        <f>SUM(K71:P71)*C71</f>
        <v>5327.3</v>
      </c>
      <c r="R71" s="56">
        <v>4</v>
      </c>
    </row>
    <row r="72" spans="1:18" ht="44.25" customHeight="1">
      <c r="A72" s="52">
        <v>3</v>
      </c>
      <c r="B72" s="53" t="s">
        <v>237</v>
      </c>
      <c r="C72" s="295">
        <v>1</v>
      </c>
      <c r="D72" s="55">
        <v>3674</v>
      </c>
      <c r="E72" s="55"/>
      <c r="F72" s="55"/>
      <c r="G72" s="55"/>
      <c r="H72" s="55"/>
      <c r="I72" s="55">
        <f t="shared" si="4"/>
        <v>734.8000000000001</v>
      </c>
      <c r="J72" s="55"/>
      <c r="K72" s="55">
        <f aca="true" t="shared" si="5" ref="K72:K77">SUM(D72:J72)</f>
        <v>4408.8</v>
      </c>
      <c r="L72" s="55"/>
      <c r="M72" s="69">
        <f aca="true" t="shared" si="6" ref="M72:M77">D72*25%</f>
        <v>918.5</v>
      </c>
      <c r="N72" s="55"/>
      <c r="O72" s="55"/>
      <c r="P72" s="84"/>
      <c r="Q72" s="32">
        <f aca="true" t="shared" si="7" ref="Q72:Q77">SUM(K72:P72)*C72</f>
        <v>5327.3</v>
      </c>
      <c r="R72" s="56">
        <v>4</v>
      </c>
    </row>
    <row r="73" spans="1:18" ht="44.25" customHeight="1">
      <c r="A73" s="52">
        <v>4</v>
      </c>
      <c r="B73" s="53" t="s">
        <v>238</v>
      </c>
      <c r="C73" s="295">
        <v>1</v>
      </c>
      <c r="D73" s="55">
        <v>3674</v>
      </c>
      <c r="E73" s="55"/>
      <c r="F73" s="55"/>
      <c r="G73" s="55"/>
      <c r="H73" s="55"/>
      <c r="I73" s="55">
        <f t="shared" si="4"/>
        <v>734.8000000000001</v>
      </c>
      <c r="J73" s="55"/>
      <c r="K73" s="55">
        <f t="shared" si="5"/>
        <v>4408.8</v>
      </c>
      <c r="L73" s="55"/>
      <c r="M73" s="69">
        <f t="shared" si="6"/>
        <v>918.5</v>
      </c>
      <c r="N73" s="55"/>
      <c r="O73" s="55"/>
      <c r="P73" s="84"/>
      <c r="Q73" s="32">
        <f t="shared" si="7"/>
        <v>5327.3</v>
      </c>
      <c r="R73" s="56">
        <v>4</v>
      </c>
    </row>
    <row r="74" spans="1:18" ht="44.25" customHeight="1">
      <c r="A74" s="52">
        <v>5</v>
      </c>
      <c r="B74" s="53" t="s">
        <v>239</v>
      </c>
      <c r="C74" s="295">
        <v>1</v>
      </c>
      <c r="D74" s="55">
        <v>3674</v>
      </c>
      <c r="E74" s="55"/>
      <c r="F74" s="55"/>
      <c r="G74" s="55"/>
      <c r="H74" s="55"/>
      <c r="I74" s="55">
        <f t="shared" si="4"/>
        <v>734.8000000000001</v>
      </c>
      <c r="J74" s="55"/>
      <c r="K74" s="55">
        <f t="shared" si="5"/>
        <v>4408.8</v>
      </c>
      <c r="L74" s="55"/>
      <c r="M74" s="69">
        <f t="shared" si="6"/>
        <v>918.5</v>
      </c>
      <c r="N74" s="55"/>
      <c r="O74" s="55"/>
      <c r="P74" s="84"/>
      <c r="Q74" s="32">
        <f t="shared" si="7"/>
        <v>5327.3</v>
      </c>
      <c r="R74" s="56">
        <v>4</v>
      </c>
    </row>
    <row r="75" spans="1:18" ht="44.25" customHeight="1">
      <c r="A75" s="52">
        <v>6</v>
      </c>
      <c r="B75" s="53" t="s">
        <v>240</v>
      </c>
      <c r="C75" s="295">
        <v>1.5</v>
      </c>
      <c r="D75" s="55">
        <v>3153</v>
      </c>
      <c r="E75" s="55"/>
      <c r="F75" s="55"/>
      <c r="G75" s="55"/>
      <c r="H75" s="55"/>
      <c r="I75" s="55">
        <f t="shared" si="4"/>
        <v>630.6</v>
      </c>
      <c r="J75" s="55"/>
      <c r="K75" s="55">
        <f t="shared" si="5"/>
        <v>3783.6</v>
      </c>
      <c r="L75" s="55"/>
      <c r="M75" s="69">
        <f t="shared" si="6"/>
        <v>788.25</v>
      </c>
      <c r="N75" s="55"/>
      <c r="O75" s="55"/>
      <c r="P75" s="84"/>
      <c r="Q75" s="32">
        <f t="shared" si="7"/>
        <v>6857.775000000001</v>
      </c>
      <c r="R75" s="56">
        <v>2</v>
      </c>
    </row>
    <row r="76" spans="1:18" ht="44.25" customHeight="1">
      <c r="A76" s="52">
        <v>7</v>
      </c>
      <c r="B76" s="53" t="s">
        <v>241</v>
      </c>
      <c r="C76" s="295">
        <v>0.5</v>
      </c>
      <c r="D76" s="55">
        <v>3153</v>
      </c>
      <c r="E76" s="55"/>
      <c r="F76" s="55"/>
      <c r="G76" s="55"/>
      <c r="H76" s="55"/>
      <c r="I76" s="55">
        <f t="shared" si="4"/>
        <v>630.6</v>
      </c>
      <c r="J76" s="55"/>
      <c r="K76" s="55">
        <f t="shared" si="5"/>
        <v>3783.6</v>
      </c>
      <c r="L76" s="55"/>
      <c r="M76" s="69">
        <f t="shared" si="6"/>
        <v>788.25</v>
      </c>
      <c r="N76" s="55"/>
      <c r="O76" s="55"/>
      <c r="P76" s="84"/>
      <c r="Q76" s="32">
        <f t="shared" si="7"/>
        <v>2285.925</v>
      </c>
      <c r="R76" s="56">
        <v>2</v>
      </c>
    </row>
    <row r="77" spans="1:18" ht="44.25" customHeight="1">
      <c r="A77" s="52">
        <v>8</v>
      </c>
      <c r="B77" s="53" t="s">
        <v>242</v>
      </c>
      <c r="C77" s="295">
        <v>0.5</v>
      </c>
      <c r="D77" s="55">
        <v>3153</v>
      </c>
      <c r="E77" s="55"/>
      <c r="F77" s="55"/>
      <c r="G77" s="55"/>
      <c r="H77" s="55"/>
      <c r="I77" s="55">
        <f t="shared" si="4"/>
        <v>630.6</v>
      </c>
      <c r="J77" s="55"/>
      <c r="K77" s="55">
        <f t="shared" si="5"/>
        <v>3783.6</v>
      </c>
      <c r="L77" s="55"/>
      <c r="M77" s="69">
        <f t="shared" si="6"/>
        <v>788.25</v>
      </c>
      <c r="N77" s="55"/>
      <c r="O77" s="55"/>
      <c r="P77" s="84"/>
      <c r="Q77" s="32">
        <f t="shared" si="7"/>
        <v>2285.925</v>
      </c>
      <c r="R77" s="56">
        <v>2</v>
      </c>
    </row>
    <row r="78" spans="1:18" ht="93" customHeight="1">
      <c r="A78" s="440" t="s">
        <v>18</v>
      </c>
      <c r="B78" s="441"/>
      <c r="C78" s="296">
        <f>C70+C71+C72+C73+C74+C75+C76+C77</f>
        <v>7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174">
        <f>Q70+Q71+Q72+Q73+Q74+Q75+Q76+Q77</f>
        <v>34966.325000000004</v>
      </c>
      <c r="R78" s="78"/>
    </row>
    <row r="79" spans="1:18" ht="33.75" customHeight="1" hidden="1">
      <c r="A79" s="49"/>
      <c r="B79" s="49"/>
      <c r="C79" s="375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33.75" customHeight="1" hidden="1">
      <c r="A80" s="49"/>
      <c r="B80" s="49"/>
      <c r="C80" s="375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33.75" customHeight="1" hidden="1">
      <c r="A81" s="49"/>
      <c r="B81" s="49"/>
      <c r="C81" s="375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33.75" customHeight="1" hidden="1">
      <c r="A82" s="49"/>
      <c r="B82" s="49"/>
      <c r="C82" s="375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33.75" customHeight="1" hidden="1">
      <c r="A83" s="49"/>
      <c r="B83" s="49"/>
      <c r="C83" s="375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32.25" customHeight="1" hidden="1">
      <c r="A84" s="49"/>
      <c r="B84" s="49"/>
      <c r="C84" s="375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 hidden="1">
      <c r="A85" s="49"/>
      <c r="B85" s="49"/>
      <c r="C85" s="375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33.75" customHeight="1" hidden="1">
      <c r="A86" s="49"/>
      <c r="B86" s="49"/>
      <c r="C86" s="375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33.75" customHeight="1" hidden="1">
      <c r="A87" s="49"/>
      <c r="B87" s="49"/>
      <c r="C87" s="375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33.75" customHeight="1" hidden="1">
      <c r="A88" s="49"/>
      <c r="B88" s="49"/>
      <c r="C88" s="375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33.75" customHeight="1" hidden="1">
      <c r="A89" s="49"/>
      <c r="B89" s="49"/>
      <c r="C89" s="375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33.75" customHeight="1" hidden="1">
      <c r="A90" s="49"/>
      <c r="B90" s="49"/>
      <c r="C90" s="375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33.75" customHeight="1" hidden="1">
      <c r="A91" s="49"/>
      <c r="B91" s="49"/>
      <c r="C91" s="375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37.5" hidden="1">
      <c r="A92" s="49"/>
      <c r="B92" s="49"/>
      <c r="C92" s="375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37.5" hidden="1">
      <c r="A93" s="49"/>
      <c r="B93" s="49"/>
      <c r="C93" s="375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37.5" hidden="1">
      <c r="A94" s="49"/>
      <c r="B94" s="49"/>
      <c r="C94" s="375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37.5" hidden="1">
      <c r="A95" s="49"/>
      <c r="B95" s="49"/>
      <c r="C95" s="375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4.5" customHeight="1" hidden="1">
      <c r="A96" s="49"/>
      <c r="B96" s="49"/>
      <c r="C96" s="375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39.75" customHeight="1" hidden="1">
      <c r="A97" s="49"/>
      <c r="B97" s="49"/>
      <c r="C97" s="375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78.75" customHeight="1">
      <c r="A98" s="49"/>
      <c r="B98" s="49"/>
      <c r="C98" s="375"/>
      <c r="D98" s="49"/>
      <c r="E98" s="49"/>
      <c r="F98" s="49"/>
      <c r="G98" s="86" t="s">
        <v>110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36" customHeight="1">
      <c r="A99" s="448" t="s">
        <v>1</v>
      </c>
      <c r="B99" s="448" t="s">
        <v>2</v>
      </c>
      <c r="C99" s="450" t="s">
        <v>3</v>
      </c>
      <c r="D99" s="448" t="s">
        <v>12</v>
      </c>
      <c r="E99" s="458" t="s">
        <v>101</v>
      </c>
      <c r="F99" s="459"/>
      <c r="G99" s="459"/>
      <c r="H99" s="459"/>
      <c r="I99" s="459"/>
      <c r="J99" s="460"/>
      <c r="K99" s="448" t="s">
        <v>102</v>
      </c>
      <c r="L99" s="458" t="s">
        <v>103</v>
      </c>
      <c r="M99" s="459"/>
      <c r="N99" s="459"/>
      <c r="O99" s="462" t="s">
        <v>106</v>
      </c>
      <c r="P99" s="462"/>
      <c r="Q99" s="448" t="s">
        <v>4</v>
      </c>
      <c r="R99" s="448" t="s">
        <v>5</v>
      </c>
    </row>
    <row r="100" spans="1:18" ht="166.5" customHeight="1">
      <c r="A100" s="449"/>
      <c r="B100" s="449"/>
      <c r="C100" s="451"/>
      <c r="D100" s="449"/>
      <c r="E100" s="262" t="s">
        <v>6</v>
      </c>
      <c r="F100" s="262" t="s">
        <v>119</v>
      </c>
      <c r="G100" s="262" t="s">
        <v>7</v>
      </c>
      <c r="H100" s="262" t="s">
        <v>8</v>
      </c>
      <c r="I100" s="262" t="s">
        <v>118</v>
      </c>
      <c r="J100" s="262" t="s">
        <v>10</v>
      </c>
      <c r="K100" s="457"/>
      <c r="L100" s="262" t="s">
        <v>104</v>
      </c>
      <c r="M100" s="262" t="s">
        <v>105</v>
      </c>
      <c r="N100" s="262" t="s">
        <v>97</v>
      </c>
      <c r="O100" s="262" t="s">
        <v>107</v>
      </c>
      <c r="P100" s="262" t="s">
        <v>176</v>
      </c>
      <c r="Q100" s="449"/>
      <c r="R100" s="449"/>
    </row>
    <row r="101" spans="1:18" ht="67.5" customHeight="1">
      <c r="A101" s="75">
        <v>1</v>
      </c>
      <c r="B101" s="87">
        <v>2</v>
      </c>
      <c r="C101" s="412">
        <v>3</v>
      </c>
      <c r="D101" s="87">
        <v>4</v>
      </c>
      <c r="E101" s="87">
        <v>5</v>
      </c>
      <c r="F101" s="87">
        <v>6</v>
      </c>
      <c r="G101" s="87">
        <v>7</v>
      </c>
      <c r="H101" s="87">
        <v>8</v>
      </c>
      <c r="I101" s="87">
        <v>9</v>
      </c>
      <c r="J101" s="87">
        <v>10</v>
      </c>
      <c r="K101" s="87">
        <v>11</v>
      </c>
      <c r="L101" s="87">
        <v>12</v>
      </c>
      <c r="M101" s="87">
        <v>13</v>
      </c>
      <c r="N101" s="87">
        <v>14</v>
      </c>
      <c r="O101" s="87">
        <v>15</v>
      </c>
      <c r="P101" s="87">
        <v>16</v>
      </c>
      <c r="Q101" s="87">
        <v>17</v>
      </c>
      <c r="R101" s="87">
        <v>18</v>
      </c>
    </row>
    <row r="102" spans="1:18" ht="42.75" customHeight="1">
      <c r="A102" s="37">
        <v>1</v>
      </c>
      <c r="B102" s="89" t="s">
        <v>26</v>
      </c>
      <c r="C102" s="331">
        <v>1</v>
      </c>
      <c r="D102" s="313">
        <f>D16</f>
        <v>23400</v>
      </c>
      <c r="E102" s="90"/>
      <c r="F102" s="90"/>
      <c r="G102" s="90"/>
      <c r="H102" s="90"/>
      <c r="I102" s="90"/>
      <c r="J102" s="90">
        <f>D102*0.15</f>
        <v>3510</v>
      </c>
      <c r="K102" s="31">
        <f aca="true" t="shared" si="8" ref="K102:K111">SUM(D102:J102)</f>
        <v>26910</v>
      </c>
      <c r="L102" s="31"/>
      <c r="M102" s="91"/>
      <c r="N102" s="90"/>
      <c r="O102" s="90"/>
      <c r="P102" s="90"/>
      <c r="Q102" s="32">
        <f aca="true" t="shared" si="9" ref="Q102:Q111">SUM(K102:P102)*C102</f>
        <v>26910</v>
      </c>
      <c r="R102" s="65" t="s">
        <v>74</v>
      </c>
    </row>
    <row r="103" spans="1:18" ht="41.25" customHeight="1">
      <c r="A103" s="37">
        <v>2</v>
      </c>
      <c r="B103" s="53" t="s">
        <v>27</v>
      </c>
      <c r="C103" s="295">
        <v>1</v>
      </c>
      <c r="D103" s="92">
        <v>5265</v>
      </c>
      <c r="E103" s="55"/>
      <c r="F103" s="90"/>
      <c r="G103" s="55"/>
      <c r="H103" s="55"/>
      <c r="I103" s="55"/>
      <c r="J103" s="55"/>
      <c r="K103" s="31">
        <f t="shared" si="8"/>
        <v>5265</v>
      </c>
      <c r="L103" s="55"/>
      <c r="M103" s="55"/>
      <c r="N103" s="55"/>
      <c r="O103" s="55"/>
      <c r="P103" s="55"/>
      <c r="Q103" s="32">
        <f t="shared" si="9"/>
        <v>5265</v>
      </c>
      <c r="R103" s="56">
        <v>10</v>
      </c>
    </row>
    <row r="104" spans="1:18" ht="45.75" customHeight="1">
      <c r="A104" s="37">
        <v>3</v>
      </c>
      <c r="B104" s="53" t="s">
        <v>130</v>
      </c>
      <c r="C104" s="295">
        <v>0.5</v>
      </c>
      <c r="D104" s="92">
        <v>5265</v>
      </c>
      <c r="E104" s="55"/>
      <c r="F104" s="90"/>
      <c r="G104" s="55"/>
      <c r="H104" s="55"/>
      <c r="I104" s="55"/>
      <c r="J104" s="55"/>
      <c r="K104" s="31">
        <f t="shared" si="8"/>
        <v>5265</v>
      </c>
      <c r="L104" s="55"/>
      <c r="M104" s="55"/>
      <c r="N104" s="55"/>
      <c r="O104" s="55"/>
      <c r="P104" s="55"/>
      <c r="Q104" s="32">
        <f t="shared" si="9"/>
        <v>2632.5</v>
      </c>
      <c r="R104" s="56">
        <v>10</v>
      </c>
    </row>
    <row r="105" spans="1:18" ht="57.75" customHeight="1">
      <c r="A105" s="37">
        <v>4</v>
      </c>
      <c r="B105" s="294" t="s">
        <v>111</v>
      </c>
      <c r="C105" s="295">
        <v>0.5</v>
      </c>
      <c r="D105" s="92">
        <v>5005</v>
      </c>
      <c r="E105" s="55"/>
      <c r="F105" s="90"/>
      <c r="G105" s="55"/>
      <c r="H105" s="55"/>
      <c r="I105" s="55"/>
      <c r="J105" s="55"/>
      <c r="K105" s="31">
        <f t="shared" si="8"/>
        <v>5005</v>
      </c>
      <c r="L105" s="55"/>
      <c r="M105" s="55"/>
      <c r="N105" s="55"/>
      <c r="O105" s="55"/>
      <c r="P105" s="55"/>
      <c r="Q105" s="32">
        <f t="shared" si="9"/>
        <v>2502.5</v>
      </c>
      <c r="R105" s="56">
        <v>9</v>
      </c>
    </row>
    <row r="106" spans="1:18" ht="38.25">
      <c r="A106" s="37">
        <v>5</v>
      </c>
      <c r="B106" s="294" t="s">
        <v>189</v>
      </c>
      <c r="C106" s="295">
        <v>0.5</v>
      </c>
      <c r="D106" s="92">
        <v>5005</v>
      </c>
      <c r="E106" s="55"/>
      <c r="F106" s="90"/>
      <c r="G106" s="55"/>
      <c r="H106" s="55"/>
      <c r="I106" s="55"/>
      <c r="J106" s="55"/>
      <c r="K106" s="31">
        <f t="shared" si="8"/>
        <v>5005</v>
      </c>
      <c r="L106" s="55"/>
      <c r="M106" s="55"/>
      <c r="N106" s="55"/>
      <c r="O106" s="55"/>
      <c r="P106" s="55"/>
      <c r="Q106" s="32">
        <f t="shared" si="9"/>
        <v>2502.5</v>
      </c>
      <c r="R106" s="56">
        <v>9</v>
      </c>
    </row>
    <row r="107" spans="1:18" ht="43.5" customHeight="1">
      <c r="A107" s="37">
        <v>6</v>
      </c>
      <c r="B107" s="293" t="s">
        <v>112</v>
      </c>
      <c r="C107" s="295">
        <v>0.5</v>
      </c>
      <c r="D107" s="92">
        <v>5005</v>
      </c>
      <c r="E107" s="55"/>
      <c r="F107" s="90"/>
      <c r="G107" s="55"/>
      <c r="H107" s="55"/>
      <c r="I107" s="55"/>
      <c r="J107" s="55"/>
      <c r="K107" s="31">
        <f t="shared" si="8"/>
        <v>5005</v>
      </c>
      <c r="L107" s="55"/>
      <c r="M107" s="55"/>
      <c r="N107" s="55"/>
      <c r="O107" s="55"/>
      <c r="P107" s="55"/>
      <c r="Q107" s="32">
        <f t="shared" si="9"/>
        <v>2502.5</v>
      </c>
      <c r="R107" s="56">
        <v>9</v>
      </c>
    </row>
    <row r="108" spans="1:18" ht="66">
      <c r="A108" s="37">
        <v>7</v>
      </c>
      <c r="B108" s="293" t="s">
        <v>113</v>
      </c>
      <c r="C108" s="295">
        <v>0.5</v>
      </c>
      <c r="D108" s="92">
        <v>5005</v>
      </c>
      <c r="E108" s="55"/>
      <c r="F108" s="90"/>
      <c r="G108" s="55"/>
      <c r="H108" s="55"/>
      <c r="I108" s="55"/>
      <c r="J108" s="55"/>
      <c r="K108" s="31">
        <f t="shared" si="8"/>
        <v>5005</v>
      </c>
      <c r="L108" s="55"/>
      <c r="M108" s="55"/>
      <c r="N108" s="55"/>
      <c r="O108" s="55"/>
      <c r="P108" s="55"/>
      <c r="Q108" s="32">
        <f t="shared" si="9"/>
        <v>2502.5</v>
      </c>
      <c r="R108" s="56">
        <v>9</v>
      </c>
    </row>
    <row r="109" spans="1:18" ht="72" customHeight="1">
      <c r="A109" s="37">
        <v>8</v>
      </c>
      <c r="B109" s="293" t="s">
        <v>114</v>
      </c>
      <c r="C109" s="295">
        <v>1.5</v>
      </c>
      <c r="D109" s="92">
        <v>5005</v>
      </c>
      <c r="E109" s="55"/>
      <c r="F109" s="90"/>
      <c r="G109" s="55"/>
      <c r="H109" s="55"/>
      <c r="I109" s="55"/>
      <c r="J109" s="55"/>
      <c r="K109" s="31">
        <f t="shared" si="8"/>
        <v>5005</v>
      </c>
      <c r="L109" s="55"/>
      <c r="M109" s="55"/>
      <c r="N109" s="55"/>
      <c r="O109" s="55"/>
      <c r="P109" s="55"/>
      <c r="Q109" s="32">
        <f t="shared" si="9"/>
        <v>7507.5</v>
      </c>
      <c r="R109" s="56">
        <v>9</v>
      </c>
    </row>
    <row r="110" spans="1:18" ht="47.25" customHeight="1">
      <c r="A110" s="37">
        <v>9</v>
      </c>
      <c r="B110" s="294" t="s">
        <v>115</v>
      </c>
      <c r="C110" s="295">
        <v>0.5</v>
      </c>
      <c r="D110" s="92">
        <v>5005</v>
      </c>
      <c r="E110" s="55"/>
      <c r="F110" s="90"/>
      <c r="G110" s="55"/>
      <c r="H110" s="55"/>
      <c r="I110" s="55"/>
      <c r="J110" s="55"/>
      <c r="K110" s="31">
        <f t="shared" si="8"/>
        <v>5005</v>
      </c>
      <c r="L110" s="55"/>
      <c r="M110" s="55"/>
      <c r="N110" s="55"/>
      <c r="O110" s="55"/>
      <c r="P110" s="55"/>
      <c r="Q110" s="32">
        <f t="shared" si="9"/>
        <v>2502.5</v>
      </c>
      <c r="R110" s="56">
        <v>9</v>
      </c>
    </row>
    <row r="111" spans="1:18" ht="39.75" customHeight="1">
      <c r="A111" s="37">
        <v>10</v>
      </c>
      <c r="B111" s="314" t="s">
        <v>215</v>
      </c>
      <c r="C111" s="194">
        <v>1</v>
      </c>
      <c r="D111" s="83">
        <v>3674</v>
      </c>
      <c r="E111" s="317"/>
      <c r="F111" s="90"/>
      <c r="G111" s="317"/>
      <c r="H111" s="317"/>
      <c r="I111" s="317"/>
      <c r="J111" s="317"/>
      <c r="K111" s="83">
        <f t="shared" si="8"/>
        <v>3674</v>
      </c>
      <c r="L111" s="317"/>
      <c r="M111" s="317"/>
      <c r="N111" s="317"/>
      <c r="O111" s="317"/>
      <c r="P111" s="317"/>
      <c r="Q111" s="83">
        <f t="shared" si="9"/>
        <v>3674</v>
      </c>
      <c r="R111" s="316">
        <v>4</v>
      </c>
    </row>
    <row r="112" spans="1:18" ht="33.75" customHeight="1">
      <c r="A112" s="440" t="s">
        <v>18</v>
      </c>
      <c r="B112" s="441"/>
      <c r="C112" s="296">
        <f>SUM(C102:C111)</f>
        <v>7.5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315">
        <f>SUM(Q102:Q111)</f>
        <v>58501.5</v>
      </c>
      <c r="R112" s="78"/>
    </row>
    <row r="113" spans="1:18" ht="39.75" customHeight="1">
      <c r="A113" s="93" t="s">
        <v>183</v>
      </c>
      <c r="B113" s="94"/>
      <c r="C113" s="300">
        <f>SUM(C102:C111)</f>
        <v>7.5</v>
      </c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46" t="s">
        <v>28</v>
      </c>
      <c r="P113" s="45"/>
      <c r="Q113" s="95">
        <f>Q112</f>
        <v>58501.5</v>
      </c>
      <c r="R113" s="49"/>
    </row>
    <row r="114" spans="1:18" ht="3" customHeight="1">
      <c r="A114" s="94"/>
      <c r="B114" s="94"/>
      <c r="C114" s="37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ht="39.75" customHeight="1">
      <c r="A115" s="94"/>
      <c r="B115" s="442" t="s">
        <v>98</v>
      </c>
      <c r="C115" s="443"/>
      <c r="D115" s="356">
        <f>C21</f>
        <v>6</v>
      </c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8">
        <f>Q21</f>
        <v>136308.5932</v>
      </c>
      <c r="R115" s="355"/>
    </row>
    <row r="116" spans="1:18" ht="39.75" customHeight="1">
      <c r="A116" s="99"/>
      <c r="B116" s="444" t="s">
        <v>23</v>
      </c>
      <c r="C116" s="444"/>
      <c r="D116" s="356">
        <f>C49+C56+C64+C113+C78</f>
        <v>41.5</v>
      </c>
      <c r="E116" s="357"/>
      <c r="F116" s="357"/>
      <c r="G116" s="357"/>
      <c r="H116" s="359"/>
      <c r="I116" s="357"/>
      <c r="J116" s="357"/>
      <c r="K116" s="357"/>
      <c r="L116" s="357"/>
      <c r="M116" s="357"/>
      <c r="N116" s="357"/>
      <c r="O116" s="357"/>
      <c r="P116" s="359"/>
      <c r="Q116" s="360">
        <f>SUM(Q49+Q56+Q64+Q78+Q113)</f>
        <v>196520.519</v>
      </c>
      <c r="R116" s="355"/>
    </row>
    <row r="117" spans="1:18" ht="39.75" customHeight="1">
      <c r="A117" s="99"/>
      <c r="B117" s="445" t="s">
        <v>24</v>
      </c>
      <c r="C117" s="445"/>
      <c r="D117" s="356">
        <f>D115+D116</f>
        <v>47.5</v>
      </c>
      <c r="E117" s="357"/>
      <c r="F117" s="357"/>
      <c r="G117" s="357"/>
      <c r="H117" s="357"/>
      <c r="I117" s="357"/>
      <c r="J117" s="357"/>
      <c r="K117" s="357"/>
      <c r="L117" s="357"/>
      <c r="M117" s="359"/>
      <c r="N117" s="357"/>
      <c r="O117" s="357"/>
      <c r="P117" s="357"/>
      <c r="Q117" s="361">
        <f>Q115+Q116</f>
        <v>332829.1122</v>
      </c>
      <c r="R117" s="355"/>
    </row>
    <row r="118" spans="1:18" ht="39.75" customHeight="1">
      <c r="A118" s="99" t="s">
        <v>22</v>
      </c>
      <c r="B118" s="362"/>
      <c r="C118" s="377"/>
      <c r="D118" s="362"/>
      <c r="E118" s="362"/>
      <c r="F118" s="362"/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94"/>
    </row>
    <row r="119" spans="1:18" ht="39">
      <c r="A119" s="49"/>
      <c r="B119" s="49"/>
      <c r="C119" s="375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51" customHeight="1">
      <c r="A120" s="455" t="s">
        <v>1</v>
      </c>
      <c r="B120" s="455" t="s">
        <v>2</v>
      </c>
      <c r="C120" s="452" t="s">
        <v>3</v>
      </c>
      <c r="D120" s="455" t="s">
        <v>25</v>
      </c>
      <c r="E120" s="458" t="s">
        <v>101</v>
      </c>
      <c r="F120" s="459"/>
      <c r="G120" s="459"/>
      <c r="H120" s="459"/>
      <c r="I120" s="459"/>
      <c r="J120" s="460"/>
      <c r="K120" s="448" t="s">
        <v>102</v>
      </c>
      <c r="L120" s="462" t="s">
        <v>103</v>
      </c>
      <c r="M120" s="462"/>
      <c r="N120" s="462"/>
      <c r="O120" s="462" t="s">
        <v>106</v>
      </c>
      <c r="P120" s="462"/>
      <c r="Q120" s="448" t="s">
        <v>4</v>
      </c>
      <c r="R120" s="448" t="s">
        <v>29</v>
      </c>
    </row>
    <row r="121" spans="1:18" ht="76.5" customHeight="1">
      <c r="A121" s="456"/>
      <c r="B121" s="456"/>
      <c r="C121" s="453"/>
      <c r="D121" s="456"/>
      <c r="E121" s="448" t="s">
        <v>180</v>
      </c>
      <c r="F121" s="448" t="s">
        <v>108</v>
      </c>
      <c r="G121" s="264" t="s">
        <v>7</v>
      </c>
      <c r="H121" s="448" t="s">
        <v>8</v>
      </c>
      <c r="I121" s="448" t="s">
        <v>9</v>
      </c>
      <c r="J121" s="448" t="s">
        <v>10</v>
      </c>
      <c r="K121" s="461"/>
      <c r="L121" s="448" t="s">
        <v>104</v>
      </c>
      <c r="M121" s="448" t="s">
        <v>105</v>
      </c>
      <c r="N121" s="448" t="s">
        <v>97</v>
      </c>
      <c r="O121" s="448" t="s">
        <v>107</v>
      </c>
      <c r="P121" s="448" t="s">
        <v>176</v>
      </c>
      <c r="Q121" s="461"/>
      <c r="R121" s="461"/>
    </row>
    <row r="122" spans="1:18" ht="92.25" customHeight="1">
      <c r="A122" s="457"/>
      <c r="B122" s="457"/>
      <c r="C122" s="454"/>
      <c r="D122" s="457"/>
      <c r="E122" s="449"/>
      <c r="F122" s="449"/>
      <c r="G122" s="265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</row>
    <row r="123" spans="1:18" ht="30.75">
      <c r="A123" s="263">
        <v>1</v>
      </c>
      <c r="B123" s="266">
        <v>2</v>
      </c>
      <c r="C123" s="413">
        <v>3</v>
      </c>
      <c r="D123" s="266">
        <v>4</v>
      </c>
      <c r="E123" s="266">
        <v>5</v>
      </c>
      <c r="F123" s="266">
        <v>6</v>
      </c>
      <c r="G123" s="266">
        <v>7</v>
      </c>
      <c r="H123" s="266">
        <v>8</v>
      </c>
      <c r="I123" s="266">
        <v>9</v>
      </c>
      <c r="J123" s="266">
        <v>10</v>
      </c>
      <c r="K123" s="266">
        <v>11</v>
      </c>
      <c r="L123" s="266">
        <v>12</v>
      </c>
      <c r="M123" s="266">
        <v>13</v>
      </c>
      <c r="N123" s="266">
        <v>14</v>
      </c>
      <c r="O123" s="266">
        <v>15</v>
      </c>
      <c r="P123" s="266">
        <v>16</v>
      </c>
      <c r="Q123" s="266">
        <v>17</v>
      </c>
      <c r="R123" s="266">
        <v>18</v>
      </c>
    </row>
    <row r="124" spans="1:18" ht="37.5">
      <c r="A124" s="465" t="s">
        <v>82</v>
      </c>
      <c r="B124" s="465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</row>
    <row r="125" spans="1:18" ht="39">
      <c r="A125" s="102"/>
      <c r="B125" s="49"/>
      <c r="C125" s="375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0.75" customHeight="1">
      <c r="A126" s="30"/>
      <c r="B126" s="89"/>
      <c r="C126" s="331"/>
      <c r="D126" s="65"/>
      <c r="E126" s="103"/>
      <c r="F126" s="103"/>
      <c r="G126" s="104"/>
      <c r="H126" s="103"/>
      <c r="I126" s="103"/>
      <c r="J126" s="105"/>
      <c r="K126" s="105"/>
      <c r="L126" s="103"/>
      <c r="M126" s="103"/>
      <c r="N126" s="103"/>
      <c r="O126" s="103"/>
      <c r="P126" s="103"/>
      <c r="Q126" s="106"/>
      <c r="R126" s="65"/>
    </row>
    <row r="127" spans="1:18" ht="75" customHeight="1">
      <c r="A127" s="37">
        <v>1</v>
      </c>
      <c r="B127" s="409" t="s">
        <v>249</v>
      </c>
      <c r="C127" s="302">
        <v>1</v>
      </c>
      <c r="D127" s="31">
        <v>5699</v>
      </c>
      <c r="E127" s="109"/>
      <c r="F127" s="90"/>
      <c r="G127" s="312">
        <v>818.72</v>
      </c>
      <c r="H127" s="109"/>
      <c r="I127" s="109"/>
      <c r="J127" s="109">
        <f>(D127+G127)*15%</f>
        <v>977.658</v>
      </c>
      <c r="K127" s="55">
        <f aca="true" t="shared" si="10" ref="K127:K135">SUM(D127:J127)</f>
        <v>7495.378000000001</v>
      </c>
      <c r="L127" s="109"/>
      <c r="M127" s="109"/>
      <c r="N127" s="109">
        <f>K127*0.3</f>
        <v>2248.6134</v>
      </c>
      <c r="O127" s="109"/>
      <c r="P127" s="103"/>
      <c r="Q127" s="32">
        <f aca="true" t="shared" si="11" ref="Q127:Q135">SUM(K127:P127)*C127</f>
        <v>9743.9914</v>
      </c>
      <c r="R127" s="40">
        <v>11</v>
      </c>
    </row>
    <row r="128" spans="1:18" ht="75" customHeight="1">
      <c r="A128" s="37">
        <v>2</v>
      </c>
      <c r="B128" s="409" t="s">
        <v>151</v>
      </c>
      <c r="C128" s="302">
        <v>1</v>
      </c>
      <c r="D128" s="31">
        <v>5005</v>
      </c>
      <c r="E128" s="109"/>
      <c r="F128" s="90"/>
      <c r="G128" s="109"/>
      <c r="H128" s="109"/>
      <c r="I128" s="109"/>
      <c r="J128" s="109"/>
      <c r="K128" s="55">
        <f t="shared" si="10"/>
        <v>5005</v>
      </c>
      <c r="L128" s="109"/>
      <c r="M128" s="109"/>
      <c r="N128" s="109">
        <f>K128*0.3</f>
        <v>1501.5</v>
      </c>
      <c r="O128" s="109"/>
      <c r="P128" s="103"/>
      <c r="Q128" s="32">
        <f t="shared" si="11"/>
        <v>6506.5</v>
      </c>
      <c r="R128" s="40">
        <v>9</v>
      </c>
    </row>
    <row r="129" spans="1:18" ht="75" customHeight="1">
      <c r="A129" s="37">
        <v>3</v>
      </c>
      <c r="B129" s="30" t="s">
        <v>218</v>
      </c>
      <c r="C129" s="302">
        <v>0.75</v>
      </c>
      <c r="D129" s="32">
        <v>5005</v>
      </c>
      <c r="E129" s="32"/>
      <c r="F129" s="90"/>
      <c r="G129" s="32"/>
      <c r="H129" s="32"/>
      <c r="I129" s="32" t="s">
        <v>247</v>
      </c>
      <c r="J129" s="32"/>
      <c r="K129" s="55">
        <f t="shared" si="10"/>
        <v>5005</v>
      </c>
      <c r="L129" s="32"/>
      <c r="M129" s="32"/>
      <c r="N129" s="32">
        <f>K129*30%</f>
        <v>1501.5</v>
      </c>
      <c r="O129" s="32"/>
      <c r="P129" s="103"/>
      <c r="Q129" s="32">
        <f t="shared" si="11"/>
        <v>4879.875</v>
      </c>
      <c r="R129" s="40">
        <v>9</v>
      </c>
    </row>
    <row r="130" spans="1:18" s="8" customFormat="1" ht="75" customHeight="1">
      <c r="A130" s="37">
        <v>4</v>
      </c>
      <c r="B130" s="30" t="s">
        <v>246</v>
      </c>
      <c r="C130" s="302">
        <v>0.75</v>
      </c>
      <c r="D130" s="32">
        <v>4745</v>
      </c>
      <c r="E130" s="32"/>
      <c r="F130" s="90"/>
      <c r="G130" s="32"/>
      <c r="H130" s="32"/>
      <c r="I130" s="32"/>
      <c r="J130" s="32"/>
      <c r="K130" s="55">
        <f t="shared" si="10"/>
        <v>4745</v>
      </c>
      <c r="L130" s="32"/>
      <c r="M130" s="32"/>
      <c r="N130" s="32">
        <f>K130*30%</f>
        <v>1423.5</v>
      </c>
      <c r="O130" s="32"/>
      <c r="P130" s="103"/>
      <c r="Q130" s="32">
        <f t="shared" si="11"/>
        <v>4626.375</v>
      </c>
      <c r="R130" s="40">
        <v>8</v>
      </c>
    </row>
    <row r="131" spans="1:18" ht="72.75" customHeight="1">
      <c r="A131" s="37">
        <v>5</v>
      </c>
      <c r="B131" s="30" t="s">
        <v>152</v>
      </c>
      <c r="C131" s="302">
        <v>0.5</v>
      </c>
      <c r="D131" s="32">
        <v>5265</v>
      </c>
      <c r="E131" s="32"/>
      <c r="F131" s="90"/>
      <c r="G131" s="32"/>
      <c r="H131" s="31">
        <f>D131*15%</f>
        <v>789.75</v>
      </c>
      <c r="I131" s="32"/>
      <c r="J131" s="32"/>
      <c r="K131" s="55">
        <f t="shared" si="10"/>
        <v>6054.75</v>
      </c>
      <c r="L131" s="32"/>
      <c r="M131" s="32"/>
      <c r="N131" s="32">
        <f>K131*30%</f>
        <v>1816.425</v>
      </c>
      <c r="O131" s="32"/>
      <c r="P131" s="103"/>
      <c r="Q131" s="32">
        <f t="shared" si="11"/>
        <v>3935.5875</v>
      </c>
      <c r="R131" s="40">
        <v>10</v>
      </c>
    </row>
    <row r="132" spans="1:18" ht="37.5" customHeight="1">
      <c r="A132" s="37">
        <v>6</v>
      </c>
      <c r="B132" s="30" t="s">
        <v>127</v>
      </c>
      <c r="C132" s="302">
        <v>1.5</v>
      </c>
      <c r="D132" s="32">
        <v>5265</v>
      </c>
      <c r="E132" s="32"/>
      <c r="F132" s="90"/>
      <c r="G132" s="32"/>
      <c r="H132" s="31"/>
      <c r="I132" s="32"/>
      <c r="J132" s="32"/>
      <c r="K132" s="55">
        <f>D132*C132</f>
        <v>7897.5</v>
      </c>
      <c r="L132" s="32"/>
      <c r="M132" s="32"/>
      <c r="N132" s="32"/>
      <c r="O132" s="32"/>
      <c r="P132" s="36"/>
      <c r="Q132" s="32">
        <f>K132</f>
        <v>7897.5</v>
      </c>
      <c r="R132" s="40">
        <v>10</v>
      </c>
    </row>
    <row r="133" spans="1:18" ht="40.5" customHeight="1">
      <c r="A133" s="37">
        <v>7</v>
      </c>
      <c r="B133" s="30" t="s">
        <v>30</v>
      </c>
      <c r="C133" s="302">
        <v>0.25</v>
      </c>
      <c r="D133" s="32">
        <v>3674</v>
      </c>
      <c r="E133" s="32"/>
      <c r="F133" s="90"/>
      <c r="G133" s="32"/>
      <c r="H133" s="32"/>
      <c r="I133" s="32"/>
      <c r="J133" s="32"/>
      <c r="K133" s="55">
        <f t="shared" si="10"/>
        <v>3674</v>
      </c>
      <c r="L133" s="32"/>
      <c r="M133" s="32"/>
      <c r="N133" s="32"/>
      <c r="O133" s="32">
        <f>D133*12%</f>
        <v>440.88</v>
      </c>
      <c r="P133" s="36"/>
      <c r="Q133" s="32">
        <f t="shared" si="11"/>
        <v>1028.72</v>
      </c>
      <c r="R133" s="40">
        <v>4</v>
      </c>
    </row>
    <row r="134" spans="1:18" ht="93.75" customHeight="1">
      <c r="A134" s="37">
        <v>8</v>
      </c>
      <c r="B134" s="30" t="s">
        <v>89</v>
      </c>
      <c r="C134" s="302">
        <v>0.5</v>
      </c>
      <c r="D134" s="32">
        <v>3153</v>
      </c>
      <c r="E134" s="32"/>
      <c r="F134" s="90"/>
      <c r="G134" s="32"/>
      <c r="H134" s="32"/>
      <c r="I134" s="32"/>
      <c r="J134" s="32"/>
      <c r="K134" s="55">
        <f t="shared" si="10"/>
        <v>3153</v>
      </c>
      <c r="L134" s="32"/>
      <c r="M134" s="32"/>
      <c r="N134" s="32"/>
      <c r="O134" s="32"/>
      <c r="P134" s="32">
        <f>K134*10%</f>
        <v>315.3</v>
      </c>
      <c r="Q134" s="32">
        <f t="shared" si="11"/>
        <v>1734.15</v>
      </c>
      <c r="R134" s="40">
        <v>2</v>
      </c>
    </row>
    <row r="135" spans="1:18" ht="81.75" customHeight="1">
      <c r="A135" s="37">
        <v>9</v>
      </c>
      <c r="B135" s="30" t="s">
        <v>31</v>
      </c>
      <c r="C135" s="302">
        <v>0.75</v>
      </c>
      <c r="D135" s="32">
        <v>3414</v>
      </c>
      <c r="E135" s="32"/>
      <c r="F135" s="90"/>
      <c r="G135" s="32"/>
      <c r="H135" s="32"/>
      <c r="I135" s="32"/>
      <c r="J135" s="32"/>
      <c r="K135" s="55">
        <f t="shared" si="10"/>
        <v>3414</v>
      </c>
      <c r="L135" s="32"/>
      <c r="M135" s="32"/>
      <c r="N135" s="32"/>
      <c r="O135" s="32"/>
      <c r="P135" s="36"/>
      <c r="Q135" s="32">
        <f t="shared" si="11"/>
        <v>2560.5</v>
      </c>
      <c r="R135" s="40">
        <v>3</v>
      </c>
    </row>
    <row r="136" spans="1:18" ht="39.75" customHeight="1">
      <c r="A136" s="110"/>
      <c r="B136" s="50" t="s">
        <v>18</v>
      </c>
      <c r="C136" s="306">
        <f>C127+C128+C129+C130+C131+C132+C133+C134+C135</f>
        <v>7</v>
      </c>
      <c r="D136" s="112"/>
      <c r="E136" s="112"/>
      <c r="F136" s="112"/>
      <c r="G136" s="112"/>
      <c r="H136" s="112"/>
      <c r="I136" s="112"/>
      <c r="J136" s="112"/>
      <c r="K136" s="55"/>
      <c r="L136" s="112"/>
      <c r="M136" s="112"/>
      <c r="N136" s="112"/>
      <c r="O136" s="112"/>
      <c r="P136" s="111"/>
      <c r="Q136" s="39">
        <f>Q127+Q128+Q129+Q130+Q131+Q132+Q133+Q134+Q135</f>
        <v>42913.1989</v>
      </c>
      <c r="R136" s="50"/>
    </row>
    <row r="137" spans="1:18" ht="39.75" customHeight="1">
      <c r="A137" s="110"/>
      <c r="B137" s="110"/>
      <c r="C137" s="306"/>
      <c r="D137" s="50"/>
      <c r="E137" s="50"/>
      <c r="F137" s="50"/>
      <c r="G137" s="50"/>
      <c r="H137" s="50"/>
      <c r="I137" s="50"/>
      <c r="J137" s="50"/>
      <c r="K137" s="84"/>
      <c r="L137" s="50"/>
      <c r="M137" s="50"/>
      <c r="N137" s="50"/>
      <c r="O137" s="50"/>
      <c r="P137" s="50"/>
      <c r="Q137" s="113"/>
      <c r="R137" s="50"/>
    </row>
    <row r="138" spans="1:18" ht="39.75" customHeight="1">
      <c r="A138" s="110"/>
      <c r="B138" s="110"/>
      <c r="C138" s="306"/>
      <c r="D138" s="50"/>
      <c r="E138" s="50"/>
      <c r="F138" s="50"/>
      <c r="G138" s="50"/>
      <c r="H138" s="50"/>
      <c r="I138" s="50"/>
      <c r="J138" s="50"/>
      <c r="K138" s="84"/>
      <c r="L138" s="50"/>
      <c r="M138" s="50"/>
      <c r="N138" s="50"/>
      <c r="O138" s="50"/>
      <c r="P138" s="50"/>
      <c r="Q138" s="39"/>
      <c r="R138" s="50"/>
    </row>
    <row r="139" spans="1:18" ht="39.75" customHeight="1">
      <c r="A139" s="110"/>
      <c r="B139" s="37" t="s">
        <v>52</v>
      </c>
      <c r="C139" s="299">
        <f>C128+C127+C129+C130+C131</f>
        <v>4</v>
      </c>
      <c r="D139" s="113"/>
      <c r="E139" s="113"/>
      <c r="F139" s="113"/>
      <c r="G139" s="113"/>
      <c r="H139" s="113"/>
      <c r="I139" s="113"/>
      <c r="J139" s="113"/>
      <c r="K139" s="97"/>
      <c r="L139" s="113"/>
      <c r="M139" s="113"/>
      <c r="N139" s="113"/>
      <c r="O139" s="113"/>
      <c r="P139" s="113"/>
      <c r="Q139" s="114">
        <f>Q127+Q128+Q129+Q130+Q131</f>
        <v>29692.3289</v>
      </c>
      <c r="R139" s="50"/>
    </row>
    <row r="140" spans="1:18" ht="39.75" customHeight="1">
      <c r="A140" s="110"/>
      <c r="B140" s="37" t="s">
        <v>44</v>
      </c>
      <c r="C140" s="299">
        <f>SUM(C135)</f>
        <v>0.75</v>
      </c>
      <c r="D140" s="113"/>
      <c r="E140" s="113"/>
      <c r="F140" s="113"/>
      <c r="G140" s="113"/>
      <c r="H140" s="113"/>
      <c r="I140" s="113"/>
      <c r="J140" s="113"/>
      <c r="K140" s="97"/>
      <c r="L140" s="113"/>
      <c r="M140" s="113"/>
      <c r="N140" s="113"/>
      <c r="O140" s="113"/>
      <c r="P140" s="113"/>
      <c r="Q140" s="114">
        <f>Q135</f>
        <v>2560.5</v>
      </c>
      <c r="R140" s="50"/>
    </row>
    <row r="141" spans="1:18" ht="82.5" customHeight="1">
      <c r="A141" s="110"/>
      <c r="B141" s="115" t="s">
        <v>53</v>
      </c>
      <c r="C141" s="299">
        <f>C132+C133+C134</f>
        <v>2.25</v>
      </c>
      <c r="D141" s="113"/>
      <c r="E141" s="113"/>
      <c r="F141" s="113"/>
      <c r="G141" s="113"/>
      <c r="H141" s="113"/>
      <c r="I141" s="113"/>
      <c r="J141" s="113"/>
      <c r="K141" s="97"/>
      <c r="L141" s="113"/>
      <c r="M141" s="113"/>
      <c r="N141" s="113"/>
      <c r="O141" s="113"/>
      <c r="P141" s="113"/>
      <c r="Q141" s="39">
        <f>Q132+Q133+Q134</f>
        <v>10660.369999999999</v>
      </c>
      <c r="R141" s="50"/>
    </row>
    <row r="142" spans="1:18" ht="39">
      <c r="A142" s="49"/>
      <c r="B142" s="49"/>
      <c r="C142" s="375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48" customHeight="1">
      <c r="A143" s="466" t="s">
        <v>80</v>
      </c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</row>
    <row r="144" spans="1:18" ht="45.75" customHeight="1">
      <c r="A144" s="50">
        <v>1</v>
      </c>
      <c r="B144" s="51">
        <v>2</v>
      </c>
      <c r="C144" s="411">
        <v>3</v>
      </c>
      <c r="D144" s="51">
        <v>4</v>
      </c>
      <c r="E144" s="51">
        <v>5</v>
      </c>
      <c r="F144" s="51">
        <v>6</v>
      </c>
      <c r="G144" s="51">
        <v>7</v>
      </c>
      <c r="H144" s="51">
        <v>8</v>
      </c>
      <c r="I144" s="51">
        <v>9</v>
      </c>
      <c r="J144" s="51">
        <v>10</v>
      </c>
      <c r="K144" s="51">
        <v>11</v>
      </c>
      <c r="L144" s="51">
        <v>12</v>
      </c>
      <c r="M144" s="51">
        <v>13</v>
      </c>
      <c r="N144" s="51">
        <v>14</v>
      </c>
      <c r="O144" s="51">
        <v>15</v>
      </c>
      <c r="P144" s="51">
        <v>16</v>
      </c>
      <c r="Q144" s="51">
        <v>17</v>
      </c>
      <c r="R144" s="51">
        <v>18</v>
      </c>
    </row>
    <row r="145" spans="1:18" ht="76.5">
      <c r="A145" s="96">
        <v>1</v>
      </c>
      <c r="B145" s="82" t="s">
        <v>193</v>
      </c>
      <c r="C145" s="303">
        <v>1</v>
      </c>
      <c r="D145" s="72">
        <v>5265</v>
      </c>
      <c r="E145" s="70"/>
      <c r="F145" s="118"/>
      <c r="G145" s="119"/>
      <c r="H145" s="119">
        <f>D145*0.15</f>
        <v>789.75</v>
      </c>
      <c r="I145" s="119"/>
      <c r="J145" s="119"/>
      <c r="K145" s="69">
        <f>SUM(D145:J145)</f>
        <v>6054.75</v>
      </c>
      <c r="L145" s="119"/>
      <c r="M145" s="119"/>
      <c r="N145" s="119">
        <f>K145*20%</f>
        <v>1210.95</v>
      </c>
      <c r="O145" s="70"/>
      <c r="P145" s="120"/>
      <c r="Q145" s="73">
        <f>SUM(K145:P145)*C145</f>
        <v>7265.7</v>
      </c>
      <c r="R145" s="82">
        <v>10</v>
      </c>
    </row>
    <row r="146" spans="1:18" ht="45" customHeight="1">
      <c r="A146" s="96">
        <v>2</v>
      </c>
      <c r="B146" s="53" t="s">
        <v>153</v>
      </c>
      <c r="C146" s="295">
        <v>1</v>
      </c>
      <c r="D146" s="67">
        <v>5699</v>
      </c>
      <c r="E146" s="67"/>
      <c r="F146" s="91"/>
      <c r="G146" s="119"/>
      <c r="H146" s="121"/>
      <c r="I146" s="119"/>
      <c r="J146" s="121"/>
      <c r="K146" s="55">
        <f aca="true" t="shared" si="12" ref="K146:K180">SUM(D146:J146)</f>
        <v>5699</v>
      </c>
      <c r="L146" s="121"/>
      <c r="M146" s="121"/>
      <c r="N146" s="121">
        <f>K146*10%</f>
        <v>569.9</v>
      </c>
      <c r="O146" s="70"/>
      <c r="P146" s="122"/>
      <c r="Q146" s="32">
        <f>SUM(K146:P146)*C146</f>
        <v>6268.9</v>
      </c>
      <c r="R146" s="53">
        <v>11</v>
      </c>
    </row>
    <row r="147" spans="1:18" ht="75" customHeight="1">
      <c r="A147" s="96">
        <v>3</v>
      </c>
      <c r="B147" s="30" t="s">
        <v>154</v>
      </c>
      <c r="C147" s="302">
        <v>1</v>
      </c>
      <c r="D147" s="58">
        <v>7001</v>
      </c>
      <c r="E147" s="58"/>
      <c r="F147" s="118">
        <f>D147*10%</f>
        <v>700.1</v>
      </c>
      <c r="G147" s="415"/>
      <c r="H147" s="126"/>
      <c r="I147" s="415"/>
      <c r="J147" s="126"/>
      <c r="K147" s="107">
        <f t="shared" si="12"/>
        <v>7701.1</v>
      </c>
      <c r="L147" s="126"/>
      <c r="M147" s="126"/>
      <c r="N147" s="416">
        <f aca="true" t="shared" si="13" ref="N147:N152">K147*0.3</f>
        <v>2310.33</v>
      </c>
      <c r="O147" s="417"/>
      <c r="P147" s="127"/>
      <c r="Q147" s="32">
        <f>SUM(K147:P147)*C147</f>
        <v>10011.43</v>
      </c>
      <c r="R147" s="124">
        <v>14</v>
      </c>
    </row>
    <row r="148" spans="1:18" ht="75" customHeight="1">
      <c r="A148" s="96">
        <v>5</v>
      </c>
      <c r="B148" s="53" t="s">
        <v>155</v>
      </c>
      <c r="C148" s="295">
        <v>1</v>
      </c>
      <c r="D148" s="67">
        <v>6567</v>
      </c>
      <c r="E148" s="67"/>
      <c r="F148" s="414"/>
      <c r="G148" s="119"/>
      <c r="H148" s="67"/>
      <c r="I148" s="119"/>
      <c r="J148" s="67"/>
      <c r="K148" s="55">
        <f t="shared" si="12"/>
        <v>6567</v>
      </c>
      <c r="L148" s="67"/>
      <c r="M148" s="67"/>
      <c r="N148" s="121">
        <f t="shared" si="13"/>
        <v>1970.1</v>
      </c>
      <c r="O148" s="70"/>
      <c r="P148" s="122"/>
      <c r="Q148" s="60">
        <f>SUM(K148:P148)*C148</f>
        <v>8537.1</v>
      </c>
      <c r="R148" s="53">
        <v>13</v>
      </c>
    </row>
    <row r="149" spans="1:18" ht="67.5" customHeight="1">
      <c r="A149" s="367">
        <v>6</v>
      </c>
      <c r="B149" s="473" t="s">
        <v>166</v>
      </c>
      <c r="C149" s="475">
        <v>1</v>
      </c>
      <c r="D149" s="477">
        <v>5265</v>
      </c>
      <c r="E149" s="467"/>
      <c r="F149" s="479"/>
      <c r="G149" s="463"/>
      <c r="H149" s="67">
        <f>D149*0.15</f>
        <v>789.75</v>
      </c>
      <c r="I149" s="119"/>
      <c r="J149" s="467"/>
      <c r="K149" s="55">
        <f t="shared" si="12"/>
        <v>6054.75</v>
      </c>
      <c r="L149" s="467"/>
      <c r="M149" s="467"/>
      <c r="N149" s="121">
        <f>K149*0.1</f>
        <v>605.475</v>
      </c>
      <c r="O149" s="70"/>
      <c r="P149" s="469"/>
      <c r="Q149" s="123">
        <f>(K149+N149)*C149</f>
        <v>6660.225</v>
      </c>
      <c r="R149" s="471">
        <v>10</v>
      </c>
    </row>
    <row r="150" spans="1:18" ht="44.25" customHeight="1">
      <c r="A150"/>
      <c r="B150" s="474"/>
      <c r="C150" s="476"/>
      <c r="D150" s="478"/>
      <c r="E150" s="468"/>
      <c r="F150" s="480"/>
      <c r="G150" s="464"/>
      <c r="H150" s="118">
        <f>D149*0.6</f>
        <v>3159</v>
      </c>
      <c r="I150" s="119"/>
      <c r="J150" s="468"/>
      <c r="K150" s="55">
        <f>D149+H150</f>
        <v>8424</v>
      </c>
      <c r="L150" s="468"/>
      <c r="M150" s="468"/>
      <c r="N150" s="121">
        <f>K150*0.1</f>
        <v>842.4000000000001</v>
      </c>
      <c r="O150" s="70"/>
      <c r="P150" s="470"/>
      <c r="Q150" s="123">
        <f>(K150+N150)*C149</f>
        <v>9266.4</v>
      </c>
      <c r="R150" s="472"/>
    </row>
    <row r="151" spans="1:18" ht="75" customHeight="1">
      <c r="A151" s="129">
        <v>7</v>
      </c>
      <c r="B151" s="53" t="s">
        <v>156</v>
      </c>
      <c r="C151" s="295">
        <v>1</v>
      </c>
      <c r="D151" s="67">
        <v>6133</v>
      </c>
      <c r="E151" s="67"/>
      <c r="F151" s="91"/>
      <c r="G151" s="67"/>
      <c r="H151" s="130">
        <f>D151*0.25</f>
        <v>1533.25</v>
      </c>
      <c r="I151" s="67"/>
      <c r="J151" s="67"/>
      <c r="K151" s="55">
        <f t="shared" si="12"/>
        <v>7666.25</v>
      </c>
      <c r="L151" s="67"/>
      <c r="M151" s="67"/>
      <c r="N151" s="121">
        <f t="shared" si="13"/>
        <v>2299.875</v>
      </c>
      <c r="O151" s="70"/>
      <c r="P151" s="122"/>
      <c r="Q151" s="32">
        <f aca="true" t="shared" si="14" ref="Q151:Q174">SUM(K151:P151)*C151</f>
        <v>9966.125</v>
      </c>
      <c r="R151" s="53">
        <v>12</v>
      </c>
    </row>
    <row r="152" spans="1:18" ht="75" customHeight="1">
      <c r="A152" s="129">
        <v>8</v>
      </c>
      <c r="B152" s="53" t="s">
        <v>157</v>
      </c>
      <c r="C152" s="295">
        <v>1</v>
      </c>
      <c r="D152" s="67">
        <v>6567</v>
      </c>
      <c r="E152" s="67"/>
      <c r="F152" s="91"/>
      <c r="G152" s="67"/>
      <c r="H152" s="67"/>
      <c r="I152" s="67"/>
      <c r="J152" s="67"/>
      <c r="K152" s="55">
        <f t="shared" si="12"/>
        <v>6567</v>
      </c>
      <c r="L152" s="67"/>
      <c r="M152" s="67"/>
      <c r="N152" s="121">
        <f t="shared" si="13"/>
        <v>1970.1</v>
      </c>
      <c r="O152" s="70"/>
      <c r="P152" s="122"/>
      <c r="Q152" s="32">
        <f t="shared" si="14"/>
        <v>8537.1</v>
      </c>
      <c r="R152" s="53">
        <v>13</v>
      </c>
    </row>
    <row r="153" spans="1:18" ht="52.5" customHeight="1">
      <c r="A153" s="129">
        <v>10</v>
      </c>
      <c r="B153" s="53" t="s">
        <v>198</v>
      </c>
      <c r="C153" s="295">
        <v>1</v>
      </c>
      <c r="D153" s="67">
        <v>5699</v>
      </c>
      <c r="E153" s="91"/>
      <c r="F153" s="91"/>
      <c r="G153" s="67"/>
      <c r="H153" s="67">
        <f>D153*25%</f>
        <v>1424.75</v>
      </c>
      <c r="I153" s="67"/>
      <c r="J153" s="67"/>
      <c r="K153" s="55">
        <f t="shared" si="12"/>
        <v>7123.75</v>
      </c>
      <c r="L153" s="67"/>
      <c r="M153" s="67"/>
      <c r="N153" s="67">
        <f>K153*20%</f>
        <v>1424.75</v>
      </c>
      <c r="O153" s="70"/>
      <c r="P153" s="122"/>
      <c r="Q153" s="32">
        <f t="shared" si="14"/>
        <v>8548.5</v>
      </c>
      <c r="R153" s="53">
        <v>11</v>
      </c>
    </row>
    <row r="154" spans="1:18" ht="72" customHeight="1">
      <c r="A154" s="129">
        <v>11</v>
      </c>
      <c r="B154" s="53" t="s">
        <v>192</v>
      </c>
      <c r="C154" s="295">
        <v>1</v>
      </c>
      <c r="D154" s="67">
        <v>6567</v>
      </c>
      <c r="E154" s="91"/>
      <c r="F154" s="118">
        <f aca="true" t="shared" si="15" ref="F154:F160">D154*10%</f>
        <v>656.7</v>
      </c>
      <c r="G154" s="67"/>
      <c r="H154" s="67"/>
      <c r="I154" s="67"/>
      <c r="J154" s="67"/>
      <c r="K154" s="55">
        <f t="shared" si="12"/>
        <v>7223.7</v>
      </c>
      <c r="L154" s="67"/>
      <c r="M154" s="67"/>
      <c r="N154" s="130">
        <f>K154*30%</f>
        <v>2167.1099999999997</v>
      </c>
      <c r="O154" s="70"/>
      <c r="P154" s="122"/>
      <c r="Q154" s="32">
        <f t="shared" si="14"/>
        <v>9390.81</v>
      </c>
      <c r="R154" s="53">
        <v>13</v>
      </c>
    </row>
    <row r="155" spans="1:18" ht="75" customHeight="1">
      <c r="A155" s="129">
        <v>12</v>
      </c>
      <c r="B155" s="53" t="s">
        <v>131</v>
      </c>
      <c r="C155" s="295">
        <v>0.25</v>
      </c>
      <c r="D155" s="67">
        <v>5699</v>
      </c>
      <c r="E155" s="58"/>
      <c r="F155" s="118">
        <f t="shared" si="15"/>
        <v>569.9</v>
      </c>
      <c r="G155" s="67"/>
      <c r="H155" s="67"/>
      <c r="I155" s="67"/>
      <c r="J155" s="67"/>
      <c r="K155" s="55">
        <f t="shared" si="12"/>
        <v>6268.9</v>
      </c>
      <c r="L155" s="67"/>
      <c r="M155" s="67"/>
      <c r="N155" s="130">
        <f>K155*10%</f>
        <v>626.89</v>
      </c>
      <c r="O155" s="70"/>
      <c r="P155" s="122"/>
      <c r="Q155" s="32">
        <f t="shared" si="14"/>
        <v>1723.9475</v>
      </c>
      <c r="R155" s="53">
        <v>11</v>
      </c>
    </row>
    <row r="156" spans="1:18" ht="45" customHeight="1">
      <c r="A156" s="129">
        <v>13</v>
      </c>
      <c r="B156" s="53" t="s">
        <v>250</v>
      </c>
      <c r="C156" s="295">
        <v>1</v>
      </c>
      <c r="D156" s="67">
        <v>6567</v>
      </c>
      <c r="E156" s="67"/>
      <c r="F156" s="118">
        <f t="shared" si="15"/>
        <v>656.7</v>
      </c>
      <c r="G156" s="67"/>
      <c r="H156" s="67"/>
      <c r="I156" s="67"/>
      <c r="J156" s="67"/>
      <c r="K156" s="55">
        <f t="shared" si="12"/>
        <v>7223.7</v>
      </c>
      <c r="L156" s="67"/>
      <c r="M156" s="67"/>
      <c r="N156" s="130">
        <f>K156*30%</f>
        <v>2167.1099999999997</v>
      </c>
      <c r="O156" s="70"/>
      <c r="P156" s="122"/>
      <c r="Q156" s="32">
        <f t="shared" si="14"/>
        <v>9390.81</v>
      </c>
      <c r="R156" s="53">
        <v>13</v>
      </c>
    </row>
    <row r="157" spans="1:18" ht="45" customHeight="1">
      <c r="A157" s="129">
        <v>14</v>
      </c>
      <c r="B157" s="53" t="s">
        <v>205</v>
      </c>
      <c r="C157" s="295">
        <v>0.5</v>
      </c>
      <c r="D157" s="67">
        <v>5699</v>
      </c>
      <c r="E157" s="67"/>
      <c r="F157" s="118">
        <f t="shared" si="15"/>
        <v>569.9</v>
      </c>
      <c r="G157" s="67"/>
      <c r="H157" s="67"/>
      <c r="I157" s="67"/>
      <c r="J157" s="67"/>
      <c r="K157" s="55">
        <f>SUM(D157:J157)</f>
        <v>6268.9</v>
      </c>
      <c r="L157" s="67"/>
      <c r="M157" s="67"/>
      <c r="N157" s="130">
        <f>K157*10%</f>
        <v>626.89</v>
      </c>
      <c r="O157" s="70"/>
      <c r="P157" s="122"/>
      <c r="Q157" s="32">
        <f t="shared" si="14"/>
        <v>3447.895</v>
      </c>
      <c r="R157" s="53">
        <v>11</v>
      </c>
    </row>
    <row r="158" spans="1:18" ht="45" customHeight="1">
      <c r="A158" s="418">
        <v>15</v>
      </c>
      <c r="B158" s="53" t="s">
        <v>122</v>
      </c>
      <c r="C158" s="302">
        <v>1</v>
      </c>
      <c r="D158" s="67">
        <v>5699</v>
      </c>
      <c r="E158" s="67"/>
      <c r="F158" s="118">
        <f t="shared" si="15"/>
        <v>569.9</v>
      </c>
      <c r="G158" s="67"/>
      <c r="H158" s="67"/>
      <c r="I158" s="67"/>
      <c r="J158" s="67"/>
      <c r="K158" s="55">
        <f t="shared" si="12"/>
        <v>6268.9</v>
      </c>
      <c r="L158" s="67"/>
      <c r="M158" s="67"/>
      <c r="N158" s="130">
        <f>K158*30%</f>
        <v>1880.6699999999998</v>
      </c>
      <c r="O158" s="70"/>
      <c r="P158" s="122"/>
      <c r="Q158" s="32">
        <f t="shared" si="14"/>
        <v>8149.57</v>
      </c>
      <c r="R158" s="53">
        <v>11</v>
      </c>
    </row>
    <row r="159" spans="1:18" ht="90" customHeight="1">
      <c r="A159" s="419">
        <v>16</v>
      </c>
      <c r="B159" s="53" t="s">
        <v>158</v>
      </c>
      <c r="C159" s="295">
        <v>1</v>
      </c>
      <c r="D159" s="67">
        <v>6133</v>
      </c>
      <c r="E159" s="131"/>
      <c r="F159" s="118">
        <f t="shared" si="15"/>
        <v>613.3000000000001</v>
      </c>
      <c r="G159" s="67"/>
      <c r="H159" s="67">
        <f>D159*0.15</f>
        <v>919.9499999999999</v>
      </c>
      <c r="I159" s="67"/>
      <c r="J159" s="67"/>
      <c r="K159" s="55">
        <f t="shared" si="12"/>
        <v>7666.25</v>
      </c>
      <c r="L159" s="67"/>
      <c r="M159" s="67"/>
      <c r="N159" s="130">
        <f>K159*30%</f>
        <v>2299.875</v>
      </c>
      <c r="O159" s="70"/>
      <c r="P159" s="122"/>
      <c r="Q159" s="32">
        <f t="shared" si="14"/>
        <v>9966.125</v>
      </c>
      <c r="R159" s="53">
        <v>12</v>
      </c>
    </row>
    <row r="160" spans="1:18" ht="117" customHeight="1">
      <c r="A160" s="129">
        <v>17</v>
      </c>
      <c r="B160" s="53" t="s">
        <v>132</v>
      </c>
      <c r="C160" s="295">
        <v>1</v>
      </c>
      <c r="D160" s="67">
        <v>6133</v>
      </c>
      <c r="E160" s="58"/>
      <c r="F160" s="118">
        <f t="shared" si="15"/>
        <v>613.3000000000001</v>
      </c>
      <c r="G160" s="67"/>
      <c r="H160" s="67">
        <f>D160*0.15</f>
        <v>919.9499999999999</v>
      </c>
      <c r="I160" s="67"/>
      <c r="J160" s="67"/>
      <c r="K160" s="55">
        <f t="shared" si="12"/>
        <v>7666.25</v>
      </c>
      <c r="L160" s="67"/>
      <c r="M160" s="67"/>
      <c r="N160" s="130">
        <f>K160*30%</f>
        <v>2299.875</v>
      </c>
      <c r="O160" s="70"/>
      <c r="P160" s="122"/>
      <c r="Q160" s="32">
        <f t="shared" si="14"/>
        <v>9966.125</v>
      </c>
      <c r="R160" s="53">
        <v>12</v>
      </c>
    </row>
    <row r="161" spans="1:18" ht="38.25" hidden="1">
      <c r="A161" s="129">
        <v>20</v>
      </c>
      <c r="B161" s="53" t="s">
        <v>125</v>
      </c>
      <c r="C161" s="295"/>
      <c r="D161" s="67"/>
      <c r="E161" s="67"/>
      <c r="F161" s="91"/>
      <c r="G161" s="67"/>
      <c r="H161" s="67"/>
      <c r="I161" s="67"/>
      <c r="J161" s="67"/>
      <c r="K161" s="55">
        <f t="shared" si="12"/>
        <v>0</v>
      </c>
      <c r="L161" s="67"/>
      <c r="M161" s="67"/>
      <c r="N161" s="121">
        <f>K161*20%</f>
        <v>0</v>
      </c>
      <c r="O161" s="70"/>
      <c r="P161" s="122"/>
      <c r="Q161" s="32">
        <f t="shared" si="14"/>
        <v>0</v>
      </c>
      <c r="R161" s="53"/>
    </row>
    <row r="162" spans="1:18" ht="75" customHeight="1">
      <c r="A162" s="129">
        <v>18</v>
      </c>
      <c r="B162" s="53" t="s">
        <v>123</v>
      </c>
      <c r="C162" s="295">
        <v>0.5</v>
      </c>
      <c r="D162" s="121">
        <v>5265</v>
      </c>
      <c r="E162" s="121"/>
      <c r="F162" s="91"/>
      <c r="G162" s="67"/>
      <c r="H162" s="121">
        <f>D162*15%</f>
        <v>789.75</v>
      </c>
      <c r="I162" s="67"/>
      <c r="J162" s="121"/>
      <c r="K162" s="55">
        <f t="shared" si="12"/>
        <v>6054.75</v>
      </c>
      <c r="L162" s="121"/>
      <c r="M162" s="121"/>
      <c r="N162" s="121">
        <f aca="true" t="shared" si="16" ref="N162:N167">K162*30%</f>
        <v>1816.425</v>
      </c>
      <c r="O162" s="70"/>
      <c r="P162" s="122"/>
      <c r="Q162" s="32">
        <f t="shared" si="14"/>
        <v>3935.5875</v>
      </c>
      <c r="R162" s="53">
        <v>10</v>
      </c>
    </row>
    <row r="163" spans="1:18" ht="75" customHeight="1">
      <c r="A163" s="129">
        <v>19</v>
      </c>
      <c r="B163" s="53" t="s">
        <v>290</v>
      </c>
      <c r="C163" s="295">
        <v>0.5</v>
      </c>
      <c r="D163" s="121">
        <v>5699</v>
      </c>
      <c r="E163" s="67"/>
      <c r="F163" s="91"/>
      <c r="G163" s="67"/>
      <c r="H163" s="121">
        <f>D163*15%</f>
        <v>854.85</v>
      </c>
      <c r="I163" s="67"/>
      <c r="J163" s="67"/>
      <c r="K163" s="55">
        <f t="shared" si="12"/>
        <v>6553.85</v>
      </c>
      <c r="L163" s="67"/>
      <c r="M163" s="67"/>
      <c r="N163" s="121">
        <f t="shared" si="16"/>
        <v>1966.155</v>
      </c>
      <c r="O163" s="70"/>
      <c r="P163" s="122"/>
      <c r="Q163" s="32">
        <f t="shared" si="14"/>
        <v>4260.0025000000005</v>
      </c>
      <c r="R163" s="53">
        <v>11</v>
      </c>
    </row>
    <row r="164" spans="1:18" ht="75" customHeight="1">
      <c r="A164" s="129">
        <v>20</v>
      </c>
      <c r="B164" s="53" t="s">
        <v>190</v>
      </c>
      <c r="C164" s="295">
        <v>0.5</v>
      </c>
      <c r="D164" s="67">
        <v>5699</v>
      </c>
      <c r="E164" s="67"/>
      <c r="F164" s="91"/>
      <c r="G164" s="67"/>
      <c r="H164" s="121">
        <f>D164*15%</f>
        <v>854.85</v>
      </c>
      <c r="I164" s="67"/>
      <c r="J164" s="67"/>
      <c r="K164" s="55">
        <f t="shared" si="12"/>
        <v>6553.85</v>
      </c>
      <c r="L164" s="67"/>
      <c r="M164" s="67"/>
      <c r="N164" s="121">
        <f>K164*10%</f>
        <v>655.3850000000001</v>
      </c>
      <c r="O164" s="70"/>
      <c r="P164" s="122"/>
      <c r="Q164" s="32">
        <f t="shared" si="14"/>
        <v>3604.6175000000003</v>
      </c>
      <c r="R164" s="53">
        <v>11</v>
      </c>
    </row>
    <row r="165" spans="1:18" ht="75" customHeight="1">
      <c r="A165" s="129">
        <v>21</v>
      </c>
      <c r="B165" s="53" t="s">
        <v>202</v>
      </c>
      <c r="C165" s="295">
        <v>1</v>
      </c>
      <c r="D165" s="67">
        <v>6567</v>
      </c>
      <c r="E165" s="67"/>
      <c r="F165" s="91"/>
      <c r="G165" s="67"/>
      <c r="H165" s="67"/>
      <c r="I165" s="67"/>
      <c r="J165" s="67"/>
      <c r="K165" s="55">
        <f t="shared" si="12"/>
        <v>6567</v>
      </c>
      <c r="L165" s="67"/>
      <c r="M165" s="67"/>
      <c r="N165" s="67">
        <f t="shared" si="16"/>
        <v>1970.1</v>
      </c>
      <c r="O165" s="70"/>
      <c r="P165" s="122"/>
      <c r="Q165" s="32">
        <f t="shared" si="14"/>
        <v>8537.1</v>
      </c>
      <c r="R165" s="53">
        <v>13</v>
      </c>
    </row>
    <row r="166" spans="1:18" ht="75" customHeight="1">
      <c r="A166" s="129">
        <v>22</v>
      </c>
      <c r="B166" s="132" t="s">
        <v>191</v>
      </c>
      <c r="C166" s="302">
        <v>0.5</v>
      </c>
      <c r="D166" s="58">
        <v>6567</v>
      </c>
      <c r="E166" s="58"/>
      <c r="F166" s="91"/>
      <c r="G166" s="67"/>
      <c r="H166" s="58">
        <f>D166*0.15</f>
        <v>985.05</v>
      </c>
      <c r="I166" s="67"/>
      <c r="J166" s="58"/>
      <c r="K166" s="55">
        <f t="shared" si="12"/>
        <v>7552.05</v>
      </c>
      <c r="L166" s="58"/>
      <c r="M166" s="58"/>
      <c r="N166" s="58">
        <f t="shared" si="16"/>
        <v>2265.615</v>
      </c>
      <c r="O166" s="70"/>
      <c r="P166" s="30"/>
      <c r="Q166" s="32">
        <f t="shared" si="14"/>
        <v>4908.8325</v>
      </c>
      <c r="R166" s="30">
        <v>13</v>
      </c>
    </row>
    <row r="167" spans="1:18" ht="75" customHeight="1">
      <c r="A167" s="129">
        <v>23</v>
      </c>
      <c r="B167" s="53" t="s">
        <v>227</v>
      </c>
      <c r="C167" s="295">
        <v>2</v>
      </c>
      <c r="D167" s="67">
        <v>6133</v>
      </c>
      <c r="E167" s="67"/>
      <c r="F167" s="91"/>
      <c r="G167" s="67"/>
      <c r="H167" s="67"/>
      <c r="I167" s="67"/>
      <c r="J167" s="67"/>
      <c r="K167" s="55">
        <f t="shared" si="12"/>
        <v>6133</v>
      </c>
      <c r="L167" s="67"/>
      <c r="M167" s="67"/>
      <c r="N167" s="67">
        <f t="shared" si="16"/>
        <v>1839.8999999999999</v>
      </c>
      <c r="O167" s="70"/>
      <c r="P167" s="122"/>
      <c r="Q167" s="32">
        <f t="shared" si="14"/>
        <v>15945.8</v>
      </c>
      <c r="R167" s="53">
        <v>12</v>
      </c>
    </row>
    <row r="168" spans="1:18" ht="75" customHeight="1">
      <c r="A168" s="129">
        <v>24</v>
      </c>
      <c r="B168" s="53" t="s">
        <v>221</v>
      </c>
      <c r="C168" s="295">
        <v>1</v>
      </c>
      <c r="D168" s="67">
        <v>5699</v>
      </c>
      <c r="E168" s="67"/>
      <c r="F168" s="91"/>
      <c r="G168" s="67"/>
      <c r="H168" s="67"/>
      <c r="I168" s="67"/>
      <c r="J168" s="67"/>
      <c r="K168" s="55">
        <f t="shared" si="12"/>
        <v>5699</v>
      </c>
      <c r="L168" s="67"/>
      <c r="M168" s="67"/>
      <c r="N168" s="67">
        <f>K168*10%</f>
        <v>569.9</v>
      </c>
      <c r="O168" s="70"/>
      <c r="P168" s="122"/>
      <c r="Q168" s="32">
        <f t="shared" si="14"/>
        <v>6268.9</v>
      </c>
      <c r="R168" s="53">
        <v>11</v>
      </c>
    </row>
    <row r="169" spans="1:18" ht="75" customHeight="1">
      <c r="A169" s="129">
        <v>25</v>
      </c>
      <c r="B169" s="53" t="s">
        <v>268</v>
      </c>
      <c r="C169" s="295">
        <v>0.5</v>
      </c>
      <c r="D169" s="67">
        <v>5265</v>
      </c>
      <c r="E169" s="67"/>
      <c r="F169" s="91"/>
      <c r="G169" s="67"/>
      <c r="H169" s="67"/>
      <c r="I169" s="67"/>
      <c r="J169" s="67"/>
      <c r="K169" s="55">
        <f t="shared" si="12"/>
        <v>5265</v>
      </c>
      <c r="L169" s="67"/>
      <c r="M169" s="67"/>
      <c r="N169" s="67">
        <f>K169*30%</f>
        <v>1579.5</v>
      </c>
      <c r="O169" s="70"/>
      <c r="P169" s="122"/>
      <c r="Q169" s="32">
        <f>SUM(K169:P169)*C169</f>
        <v>3422.25</v>
      </c>
      <c r="R169" s="53">
        <v>10</v>
      </c>
    </row>
    <row r="170" spans="1:18" ht="75" customHeight="1">
      <c r="A170" s="129">
        <v>26</v>
      </c>
      <c r="B170" s="53" t="s">
        <v>269</v>
      </c>
      <c r="C170" s="295">
        <v>0.5</v>
      </c>
      <c r="D170" s="67">
        <v>6567</v>
      </c>
      <c r="E170" s="67"/>
      <c r="F170" s="91"/>
      <c r="G170" s="67"/>
      <c r="H170" s="67"/>
      <c r="I170" s="67"/>
      <c r="J170" s="67"/>
      <c r="K170" s="55">
        <f t="shared" si="12"/>
        <v>6567</v>
      </c>
      <c r="L170" s="67"/>
      <c r="M170" s="67"/>
      <c r="N170" s="67">
        <f>K170*30%</f>
        <v>1970.1</v>
      </c>
      <c r="O170" s="70"/>
      <c r="P170" s="122"/>
      <c r="Q170" s="32">
        <f t="shared" si="14"/>
        <v>4268.55</v>
      </c>
      <c r="R170" s="53">
        <v>13</v>
      </c>
    </row>
    <row r="171" spans="1:18" ht="75" customHeight="1">
      <c r="A171" s="129">
        <v>27</v>
      </c>
      <c r="B171" s="53" t="s">
        <v>311</v>
      </c>
      <c r="C171" s="295">
        <v>1</v>
      </c>
      <c r="D171" s="67">
        <v>5265</v>
      </c>
      <c r="E171" s="67"/>
      <c r="F171" s="91"/>
      <c r="G171" s="67"/>
      <c r="H171" s="67"/>
      <c r="I171" s="67"/>
      <c r="J171" s="67"/>
      <c r="K171" s="55">
        <f t="shared" si="12"/>
        <v>5265</v>
      </c>
      <c r="L171" s="67"/>
      <c r="M171" s="67"/>
      <c r="N171" s="67">
        <f>K171*0%</f>
        <v>0</v>
      </c>
      <c r="O171" s="67"/>
      <c r="P171" s="122"/>
      <c r="Q171" s="32">
        <f t="shared" si="14"/>
        <v>5265</v>
      </c>
      <c r="R171" s="53">
        <v>10</v>
      </c>
    </row>
    <row r="172" spans="1:18" ht="75" customHeight="1">
      <c r="A172" s="129">
        <v>28</v>
      </c>
      <c r="B172" s="53" t="s">
        <v>222</v>
      </c>
      <c r="C172" s="295">
        <v>1</v>
      </c>
      <c r="D172" s="67">
        <v>5265</v>
      </c>
      <c r="E172" s="67"/>
      <c r="F172" s="91"/>
      <c r="G172" s="67"/>
      <c r="H172" s="67"/>
      <c r="I172" s="67"/>
      <c r="J172" s="67"/>
      <c r="K172" s="55">
        <f t="shared" si="12"/>
        <v>5265</v>
      </c>
      <c r="L172" s="67"/>
      <c r="M172" s="67"/>
      <c r="N172" s="67">
        <f>K172*0%</f>
        <v>0</v>
      </c>
      <c r="O172" s="67"/>
      <c r="P172" s="122"/>
      <c r="Q172" s="32">
        <f t="shared" si="14"/>
        <v>5265</v>
      </c>
      <c r="R172" s="53">
        <v>10</v>
      </c>
    </row>
    <row r="173" spans="1:18" ht="75" customHeight="1">
      <c r="A173" s="129">
        <v>29</v>
      </c>
      <c r="B173" s="53" t="s">
        <v>308</v>
      </c>
      <c r="C173" s="295">
        <v>0.25</v>
      </c>
      <c r="D173" s="67">
        <v>5699</v>
      </c>
      <c r="E173" s="67"/>
      <c r="F173" s="91"/>
      <c r="G173" s="67"/>
      <c r="H173" s="67"/>
      <c r="I173" s="67"/>
      <c r="J173" s="67"/>
      <c r="K173" s="55">
        <f t="shared" si="12"/>
        <v>5699</v>
      </c>
      <c r="L173" s="67"/>
      <c r="M173" s="67"/>
      <c r="N173" s="67">
        <f>K173*20%</f>
        <v>1139.8</v>
      </c>
      <c r="O173" s="67"/>
      <c r="P173" s="122"/>
      <c r="Q173" s="32">
        <f t="shared" si="14"/>
        <v>1709.7</v>
      </c>
      <c r="R173" s="53">
        <v>11</v>
      </c>
    </row>
    <row r="174" spans="1:18" ht="75" customHeight="1">
      <c r="A174" s="129">
        <v>30</v>
      </c>
      <c r="B174" s="53" t="s">
        <v>312</v>
      </c>
      <c r="C174" s="295">
        <v>1</v>
      </c>
      <c r="D174" s="67">
        <v>5265</v>
      </c>
      <c r="E174" s="67"/>
      <c r="F174" s="91"/>
      <c r="G174" s="67"/>
      <c r="H174" s="67"/>
      <c r="I174" s="67"/>
      <c r="J174" s="67"/>
      <c r="K174" s="55">
        <f t="shared" si="12"/>
        <v>5265</v>
      </c>
      <c r="L174" s="67"/>
      <c r="M174" s="67"/>
      <c r="N174" s="67">
        <f>K174*0%</f>
        <v>0</v>
      </c>
      <c r="O174" s="67"/>
      <c r="P174" s="122"/>
      <c r="Q174" s="32">
        <f t="shared" si="14"/>
        <v>5265</v>
      </c>
      <c r="R174" s="53">
        <v>10</v>
      </c>
    </row>
    <row r="175" spans="1:18" ht="63.75" customHeight="1">
      <c r="A175" s="49"/>
      <c r="B175" s="49"/>
      <c r="C175" s="375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31">
        <f>Q145+Q146+Q147+Q148+Q149+Q150+Q151+Q152+Q153+Q154+Q155+Q156+Q157+Q158+Q159+Q160+Q162+Q163+Q164+Q165+Q166+Q167+Q168+Q169+Q170+Q171+Q172+Q174</f>
        <v>198043.40249999994</v>
      </c>
      <c r="R175" s="49"/>
    </row>
    <row r="176" spans="1:18" ht="30.75" customHeight="1" hidden="1">
      <c r="A176" s="133">
        <v>33</v>
      </c>
      <c r="B176" s="134" t="s">
        <v>124</v>
      </c>
      <c r="C176" s="378"/>
      <c r="D176" s="135"/>
      <c r="E176" s="88"/>
      <c r="F176" s="88"/>
      <c r="G176" s="88"/>
      <c r="H176" s="88"/>
      <c r="I176" s="88"/>
      <c r="J176" s="88"/>
      <c r="K176" s="84"/>
      <c r="L176" s="88"/>
      <c r="M176" s="88"/>
      <c r="N176" s="88"/>
      <c r="O176" s="88"/>
      <c r="P176" s="88"/>
      <c r="Q176" s="36">
        <f>SUM(K176:P176)*C176</f>
        <v>0</v>
      </c>
      <c r="R176" s="53"/>
    </row>
    <row r="177" spans="1:18" ht="41.25" customHeight="1">
      <c r="A177" s="136"/>
      <c r="B177" s="438" t="s">
        <v>32</v>
      </c>
      <c r="C177" s="481"/>
      <c r="D177" s="481"/>
      <c r="E177" s="481"/>
      <c r="F177" s="481"/>
      <c r="G177" s="481"/>
      <c r="H177" s="481"/>
      <c r="I177" s="481"/>
      <c r="J177" s="481"/>
      <c r="K177" s="481"/>
      <c r="L177" s="481"/>
      <c r="M177" s="481"/>
      <c r="N177" s="481"/>
      <c r="O177" s="481"/>
      <c r="P177" s="481"/>
      <c r="Q177" s="481"/>
      <c r="R177" s="439"/>
    </row>
    <row r="178" spans="1:18" ht="76.5">
      <c r="A178" s="96">
        <v>29</v>
      </c>
      <c r="B178" s="53" t="s">
        <v>228</v>
      </c>
      <c r="C178" s="295">
        <v>1</v>
      </c>
      <c r="D178" s="54">
        <v>6567</v>
      </c>
      <c r="E178" s="92">
        <f>D178*10%</f>
        <v>656.7</v>
      </c>
      <c r="F178" s="32">
        <f>(D178+E178)*0.1</f>
        <v>722.37</v>
      </c>
      <c r="G178" s="55"/>
      <c r="H178" s="55"/>
      <c r="I178" s="55"/>
      <c r="J178" s="55"/>
      <c r="K178" s="55">
        <f t="shared" si="12"/>
        <v>7946.07</v>
      </c>
      <c r="L178" s="55"/>
      <c r="M178" s="55"/>
      <c r="N178" s="54">
        <f>K178*0.3</f>
        <v>2383.821</v>
      </c>
      <c r="O178" s="55"/>
      <c r="P178" s="84"/>
      <c r="Q178" s="32">
        <f>SUM(K178:P178)*C178</f>
        <v>10329.891</v>
      </c>
      <c r="R178" s="56">
        <v>13</v>
      </c>
    </row>
    <row r="179" spans="1:18" ht="56.25" customHeight="1">
      <c r="A179" s="96">
        <v>30</v>
      </c>
      <c r="B179" s="53" t="s">
        <v>229</v>
      </c>
      <c r="C179" s="295">
        <v>1</v>
      </c>
      <c r="D179" s="54">
        <v>6567</v>
      </c>
      <c r="E179" s="67"/>
      <c r="F179" s="32">
        <f>(D179+E179)*0.1</f>
        <v>656.7</v>
      </c>
      <c r="G179" s="55"/>
      <c r="H179" s="67"/>
      <c r="I179" s="67"/>
      <c r="J179" s="67"/>
      <c r="K179" s="55">
        <f t="shared" si="12"/>
        <v>7223.7</v>
      </c>
      <c r="L179" s="67"/>
      <c r="M179" s="67"/>
      <c r="N179" s="31">
        <f>K179*0.3</f>
        <v>2167.1099999999997</v>
      </c>
      <c r="O179" s="55"/>
      <c r="P179" s="122"/>
      <c r="Q179" s="32">
        <f>SUM(K179:P179)*C179</f>
        <v>9390.81</v>
      </c>
      <c r="R179" s="56">
        <v>13</v>
      </c>
    </row>
    <row r="180" spans="1:18" ht="76.5">
      <c r="A180" s="96">
        <v>31</v>
      </c>
      <c r="B180" s="53" t="s">
        <v>167</v>
      </c>
      <c r="C180" s="295">
        <v>0.5</v>
      </c>
      <c r="D180" s="54">
        <v>6567</v>
      </c>
      <c r="E180" s="55"/>
      <c r="F180" s="55"/>
      <c r="G180" s="55"/>
      <c r="H180" s="55"/>
      <c r="I180" s="55"/>
      <c r="J180" s="55"/>
      <c r="K180" s="55">
        <f t="shared" si="12"/>
        <v>6567</v>
      </c>
      <c r="L180" s="55"/>
      <c r="M180" s="55"/>
      <c r="N180" s="92">
        <f>K180*0.3</f>
        <v>1970.1</v>
      </c>
      <c r="O180" s="55"/>
      <c r="P180" s="84"/>
      <c r="Q180" s="32">
        <f>SUM(K180:P180)*C180</f>
        <v>4268.55</v>
      </c>
      <c r="R180" s="56">
        <v>13</v>
      </c>
    </row>
    <row r="181" spans="1:18" ht="38.25">
      <c r="A181" s="80" t="s">
        <v>185</v>
      </c>
      <c r="B181" s="94"/>
      <c r="C181" s="310">
        <f>C180+C178+C171+C167+C166+C165+C164+C163+C162+C160+C159+C158+C157+C156+C155+C154+C153+C152+C151+C149+C148+C147+C146+C172+C168+C179+C174+C169+C170+C145+C173</f>
        <v>26.5</v>
      </c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 t="s">
        <v>33</v>
      </c>
      <c r="P181" s="94"/>
      <c r="Q181" s="323">
        <f>Q146+Q147+Q148+Q149+Q150+Q151+Q152+Q153+Q154+Q155+Q156+Q157+Q158+Q159+Q160+Q162+Q163+Q164+Q165+Q166+Q167+Q168+Q169+Q170+Q171+Q172+Q174+Q178+Q179+Q180+Q145</f>
        <v>222032.65349999996</v>
      </c>
      <c r="R181" s="94"/>
    </row>
    <row r="182" spans="1:18" ht="111" customHeight="1">
      <c r="A182" s="80" t="s">
        <v>186</v>
      </c>
      <c r="B182" s="139"/>
      <c r="C182" s="379"/>
      <c r="D182" s="140"/>
      <c r="E182" s="140"/>
      <c r="F182" s="140"/>
      <c r="G182" s="140"/>
      <c r="H182" s="139"/>
      <c r="I182" s="139"/>
      <c r="J182" s="139"/>
      <c r="K182" s="139"/>
      <c r="L182" s="139"/>
      <c r="M182" s="49"/>
      <c r="N182" s="49"/>
      <c r="O182" s="49"/>
      <c r="P182" s="49"/>
      <c r="Q182" s="49" t="s">
        <v>100</v>
      </c>
      <c r="R182" s="49"/>
    </row>
    <row r="183" spans="1:18" ht="43.5" customHeight="1">
      <c r="A183" s="50">
        <v>1</v>
      </c>
      <c r="B183" s="51">
        <v>2</v>
      </c>
      <c r="C183" s="411">
        <v>3</v>
      </c>
      <c r="D183" s="51">
        <v>4</v>
      </c>
      <c r="E183" s="51">
        <v>5</v>
      </c>
      <c r="F183" s="51">
        <v>6</v>
      </c>
      <c r="G183" s="51">
        <v>7</v>
      </c>
      <c r="H183" s="51">
        <v>8</v>
      </c>
      <c r="I183" s="51">
        <v>9</v>
      </c>
      <c r="J183" s="51">
        <v>10</v>
      </c>
      <c r="K183" s="51">
        <v>11</v>
      </c>
      <c r="L183" s="51">
        <v>12</v>
      </c>
      <c r="M183" s="51">
        <v>13</v>
      </c>
      <c r="N183" s="51">
        <v>14</v>
      </c>
      <c r="O183" s="51">
        <v>15</v>
      </c>
      <c r="P183" s="51">
        <v>16</v>
      </c>
      <c r="Q183" s="51">
        <v>17</v>
      </c>
      <c r="R183" s="51">
        <v>18</v>
      </c>
    </row>
    <row r="184" spans="1:18" ht="76.5">
      <c r="A184" s="141">
        <v>1</v>
      </c>
      <c r="B184" s="53" t="s">
        <v>251</v>
      </c>
      <c r="C184" s="295">
        <v>0.75</v>
      </c>
      <c r="D184" s="55">
        <v>4745</v>
      </c>
      <c r="E184" s="55">
        <f>D184*0.1</f>
        <v>474.5</v>
      </c>
      <c r="F184" s="55"/>
      <c r="G184" s="55"/>
      <c r="H184" s="55"/>
      <c r="I184" s="55"/>
      <c r="J184" s="55"/>
      <c r="K184" s="55">
        <f aca="true" t="shared" si="17" ref="K184:K210">SUM(D184:J184)</f>
        <v>5219.5</v>
      </c>
      <c r="L184" s="55"/>
      <c r="M184" s="55"/>
      <c r="N184" s="55">
        <f>K184*0.3</f>
        <v>1565.85</v>
      </c>
      <c r="O184" s="55"/>
      <c r="P184" s="84"/>
      <c r="Q184" s="32">
        <f aca="true" t="shared" si="18" ref="Q184:Q189">SUM(K184:P184)*C184</f>
        <v>5089.012500000001</v>
      </c>
      <c r="R184" s="56">
        <v>8</v>
      </c>
    </row>
    <row r="185" spans="1:18" ht="76.5">
      <c r="A185" s="141">
        <v>2</v>
      </c>
      <c r="B185" s="53" t="s">
        <v>252</v>
      </c>
      <c r="C185" s="295">
        <v>0.5</v>
      </c>
      <c r="D185" s="55">
        <v>47445</v>
      </c>
      <c r="E185" s="55"/>
      <c r="F185" s="55"/>
      <c r="G185" s="55"/>
      <c r="H185" s="55"/>
      <c r="I185" s="55"/>
      <c r="J185" s="55"/>
      <c r="K185" s="55">
        <f>SUM(D185:J185)</f>
        <v>47445</v>
      </c>
      <c r="L185" s="55"/>
      <c r="M185" s="55"/>
      <c r="N185" s="55">
        <f>K185*0.3</f>
        <v>14233.5</v>
      </c>
      <c r="O185" s="55"/>
      <c r="P185" s="84"/>
      <c r="Q185" s="32">
        <f t="shared" si="18"/>
        <v>30839.25</v>
      </c>
      <c r="R185" s="56">
        <v>8</v>
      </c>
    </row>
    <row r="186" spans="1:18" ht="76.5">
      <c r="A186" s="141">
        <v>3</v>
      </c>
      <c r="B186" s="53" t="s">
        <v>253</v>
      </c>
      <c r="C186" s="295">
        <v>0.75</v>
      </c>
      <c r="D186" s="83">
        <v>4745</v>
      </c>
      <c r="E186" s="55"/>
      <c r="F186" s="55"/>
      <c r="G186" s="55"/>
      <c r="H186" s="55">
        <f>D186*0.25</f>
        <v>1186.25</v>
      </c>
      <c r="I186" s="55"/>
      <c r="J186" s="55"/>
      <c r="K186" s="55">
        <f t="shared" si="17"/>
        <v>5931.25</v>
      </c>
      <c r="L186" s="55"/>
      <c r="M186" s="55"/>
      <c r="N186" s="55">
        <f>K186*0.2</f>
        <v>1186.25</v>
      </c>
      <c r="O186" s="55"/>
      <c r="P186" s="84"/>
      <c r="Q186" s="32">
        <f t="shared" si="18"/>
        <v>5338.125</v>
      </c>
      <c r="R186" s="56">
        <v>8</v>
      </c>
    </row>
    <row r="187" spans="1:18" ht="75.75" customHeight="1">
      <c r="A187" s="141">
        <v>4</v>
      </c>
      <c r="B187" s="53" t="s">
        <v>254</v>
      </c>
      <c r="C187" s="295">
        <v>0.75</v>
      </c>
      <c r="D187" s="55">
        <v>5005</v>
      </c>
      <c r="E187" s="55"/>
      <c r="F187" s="55"/>
      <c r="G187" s="55"/>
      <c r="H187" s="55">
        <f>D187*0.15</f>
        <v>750.75</v>
      </c>
      <c r="I187" s="55"/>
      <c r="J187" s="55"/>
      <c r="K187" s="55">
        <f t="shared" si="17"/>
        <v>5755.75</v>
      </c>
      <c r="L187" s="55"/>
      <c r="M187" s="55"/>
      <c r="N187" s="55">
        <f>K187*0.3</f>
        <v>1726.725</v>
      </c>
      <c r="O187" s="55"/>
      <c r="P187" s="84"/>
      <c r="Q187" s="32">
        <f t="shared" si="18"/>
        <v>5611.856250000001</v>
      </c>
      <c r="R187" s="56">
        <v>9</v>
      </c>
    </row>
    <row r="188" spans="1:18" ht="75.75" customHeight="1">
      <c r="A188" s="141">
        <v>5</v>
      </c>
      <c r="B188" s="53" t="s">
        <v>220</v>
      </c>
      <c r="C188" s="295">
        <v>0.75</v>
      </c>
      <c r="D188" s="55">
        <v>5005</v>
      </c>
      <c r="E188" s="55"/>
      <c r="F188" s="55"/>
      <c r="G188" s="55"/>
      <c r="H188" s="55"/>
      <c r="I188" s="55"/>
      <c r="J188" s="55"/>
      <c r="K188" s="55">
        <f t="shared" si="17"/>
        <v>5005</v>
      </c>
      <c r="L188" s="55"/>
      <c r="M188" s="55"/>
      <c r="N188" s="55">
        <f>K188*0.3</f>
        <v>1501.5</v>
      </c>
      <c r="O188" s="55"/>
      <c r="P188" s="84"/>
      <c r="Q188" s="32">
        <f t="shared" si="18"/>
        <v>4879.875</v>
      </c>
      <c r="R188" s="56">
        <v>9</v>
      </c>
    </row>
    <row r="189" spans="1:18" ht="84" customHeight="1">
      <c r="A189" s="141">
        <v>6</v>
      </c>
      <c r="B189" s="53" t="s">
        <v>255</v>
      </c>
      <c r="C189" s="380">
        <v>0.75</v>
      </c>
      <c r="D189" s="55">
        <v>5265</v>
      </c>
      <c r="E189" s="142"/>
      <c r="F189" s="142"/>
      <c r="G189" s="142"/>
      <c r="H189" s="142"/>
      <c r="I189" s="142"/>
      <c r="J189" s="142"/>
      <c r="K189" s="55">
        <f t="shared" si="17"/>
        <v>5265</v>
      </c>
      <c r="L189" s="142"/>
      <c r="M189" s="142"/>
      <c r="N189" s="55">
        <f>K189*0.2</f>
        <v>1053</v>
      </c>
      <c r="O189" s="142"/>
      <c r="P189" s="143"/>
      <c r="Q189" s="32">
        <f t="shared" si="18"/>
        <v>4738.5</v>
      </c>
      <c r="R189" s="101">
        <v>10</v>
      </c>
    </row>
    <row r="190" spans="1:18" ht="38.25" customHeight="1">
      <c r="A190" s="482">
        <v>7</v>
      </c>
      <c r="B190" s="484" t="s">
        <v>203</v>
      </c>
      <c r="C190" s="475">
        <v>0.75</v>
      </c>
      <c r="D190" s="467">
        <v>5005</v>
      </c>
      <c r="E190" s="467"/>
      <c r="F190" s="467"/>
      <c r="G190" s="467"/>
      <c r="H190" s="128">
        <f>D190*0.15</f>
        <v>750.75</v>
      </c>
      <c r="I190" s="467"/>
      <c r="J190" s="467"/>
      <c r="K190" s="55">
        <f t="shared" si="17"/>
        <v>5755.75</v>
      </c>
      <c r="L190" s="467"/>
      <c r="M190" s="467"/>
      <c r="N190" s="144">
        <f>K190*0.3</f>
        <v>1726.725</v>
      </c>
      <c r="O190" s="467"/>
      <c r="P190" s="469"/>
      <c r="Q190" s="467">
        <f>(K190+K191+N190+N191)*C190</f>
        <v>9665.90625</v>
      </c>
      <c r="R190" s="486">
        <v>9</v>
      </c>
    </row>
    <row r="191" spans="1:28" s="1" customFormat="1" ht="38.25">
      <c r="A191" s="483"/>
      <c r="B191" s="485"/>
      <c r="C191" s="476"/>
      <c r="D191" s="468"/>
      <c r="E191" s="468"/>
      <c r="F191" s="468"/>
      <c r="G191" s="468"/>
      <c r="H191" s="31">
        <f>D190*0.6</f>
        <v>3003</v>
      </c>
      <c r="I191" s="468"/>
      <c r="J191" s="468"/>
      <c r="K191" s="55">
        <f t="shared" si="17"/>
        <v>3003</v>
      </c>
      <c r="L191" s="468"/>
      <c r="M191" s="468"/>
      <c r="N191" s="109">
        <f>K191*0.8</f>
        <v>2402.4</v>
      </c>
      <c r="O191" s="468"/>
      <c r="P191" s="470"/>
      <c r="Q191" s="468"/>
      <c r="R191" s="487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18" ht="114.75">
      <c r="A192" s="37">
        <v>8</v>
      </c>
      <c r="B192" s="30" t="s">
        <v>256</v>
      </c>
      <c r="C192" s="302">
        <v>0.75</v>
      </c>
      <c r="D192" s="32">
        <v>4195</v>
      </c>
      <c r="E192" s="32"/>
      <c r="F192" s="32"/>
      <c r="G192" s="32"/>
      <c r="H192" s="32"/>
      <c r="I192" s="32"/>
      <c r="J192" s="32"/>
      <c r="K192" s="55">
        <f t="shared" si="17"/>
        <v>4195</v>
      </c>
      <c r="L192" s="32"/>
      <c r="M192" s="32"/>
      <c r="N192" s="32">
        <f>K192*0.1</f>
        <v>419.5</v>
      </c>
      <c r="O192" s="32"/>
      <c r="P192" s="36"/>
      <c r="Q192" s="32">
        <f aca="true" t="shared" si="19" ref="Q192:Q210">SUM(K192:P192)*C192</f>
        <v>3460.875</v>
      </c>
      <c r="R192" s="40">
        <v>6</v>
      </c>
    </row>
    <row r="193" spans="1:18" ht="114.75">
      <c r="A193" s="37">
        <v>9</v>
      </c>
      <c r="B193" s="30" t="s">
        <v>194</v>
      </c>
      <c r="C193" s="302">
        <v>0.75</v>
      </c>
      <c r="D193" s="32">
        <v>5005</v>
      </c>
      <c r="E193" s="32"/>
      <c r="F193" s="32"/>
      <c r="G193" s="32"/>
      <c r="H193" s="32"/>
      <c r="I193" s="32"/>
      <c r="J193" s="32"/>
      <c r="K193" s="55">
        <f t="shared" si="17"/>
        <v>5005</v>
      </c>
      <c r="L193" s="32"/>
      <c r="M193" s="32"/>
      <c r="N193" s="32">
        <f>K193*0.3</f>
        <v>1501.5</v>
      </c>
      <c r="O193" s="32"/>
      <c r="P193" s="36"/>
      <c r="Q193" s="32">
        <f t="shared" si="19"/>
        <v>4879.875</v>
      </c>
      <c r="R193" s="40">
        <v>9</v>
      </c>
    </row>
    <row r="194" spans="1:18" ht="114.75">
      <c r="A194" s="37">
        <v>10</v>
      </c>
      <c r="B194" s="30" t="s">
        <v>164</v>
      </c>
      <c r="C194" s="302">
        <v>0.75</v>
      </c>
      <c r="D194" s="32">
        <v>5005</v>
      </c>
      <c r="E194" s="32"/>
      <c r="F194" s="32"/>
      <c r="G194" s="32"/>
      <c r="H194" s="32"/>
      <c r="I194" s="32"/>
      <c r="J194" s="32"/>
      <c r="K194" s="55">
        <f t="shared" si="17"/>
        <v>5005</v>
      </c>
      <c r="L194" s="32"/>
      <c r="M194" s="32"/>
      <c r="N194" s="32">
        <f>K194*0.3</f>
        <v>1501.5</v>
      </c>
      <c r="O194" s="32"/>
      <c r="P194" s="36"/>
      <c r="Q194" s="32">
        <f t="shared" si="19"/>
        <v>4879.875</v>
      </c>
      <c r="R194" s="40">
        <v>9</v>
      </c>
    </row>
    <row r="195" spans="1:18" ht="114.75">
      <c r="A195" s="37">
        <v>11</v>
      </c>
      <c r="B195" s="30" t="s">
        <v>133</v>
      </c>
      <c r="C195" s="302">
        <v>0.75</v>
      </c>
      <c r="D195" s="32">
        <v>5005</v>
      </c>
      <c r="E195" s="32"/>
      <c r="F195" s="32"/>
      <c r="G195" s="32"/>
      <c r="H195" s="32"/>
      <c r="I195" s="32"/>
      <c r="J195" s="32"/>
      <c r="K195" s="55">
        <f t="shared" si="17"/>
        <v>5005</v>
      </c>
      <c r="L195" s="32"/>
      <c r="M195" s="32"/>
      <c r="N195" s="32">
        <f>K195*0.2</f>
        <v>1001</v>
      </c>
      <c r="O195" s="32"/>
      <c r="P195" s="36"/>
      <c r="Q195" s="32">
        <f t="shared" si="19"/>
        <v>4504.5</v>
      </c>
      <c r="R195" s="40">
        <v>9</v>
      </c>
    </row>
    <row r="196" spans="1:18" ht="114.75">
      <c r="A196" s="37">
        <v>12</v>
      </c>
      <c r="B196" s="30" t="s">
        <v>171</v>
      </c>
      <c r="C196" s="302">
        <v>0.75</v>
      </c>
      <c r="D196" s="32">
        <v>5005</v>
      </c>
      <c r="E196" s="32"/>
      <c r="F196" s="32"/>
      <c r="G196" s="32"/>
      <c r="H196" s="32"/>
      <c r="I196" s="32"/>
      <c r="J196" s="32"/>
      <c r="K196" s="55">
        <f t="shared" si="17"/>
        <v>5005</v>
      </c>
      <c r="L196" s="32"/>
      <c r="M196" s="32"/>
      <c r="N196" s="32">
        <f>K196*0.3</f>
        <v>1501.5</v>
      </c>
      <c r="O196" s="32"/>
      <c r="P196" s="36"/>
      <c r="Q196" s="32">
        <f t="shared" si="19"/>
        <v>4879.875</v>
      </c>
      <c r="R196" s="40">
        <v>9</v>
      </c>
    </row>
    <row r="197" spans="1:18" ht="114.75">
      <c r="A197" s="37">
        <v>13</v>
      </c>
      <c r="B197" s="30" t="s">
        <v>134</v>
      </c>
      <c r="C197" s="302">
        <v>0.75</v>
      </c>
      <c r="D197" s="32">
        <v>5005</v>
      </c>
      <c r="E197" s="32"/>
      <c r="F197" s="32"/>
      <c r="G197" s="32"/>
      <c r="H197" s="32"/>
      <c r="I197" s="32"/>
      <c r="J197" s="32"/>
      <c r="K197" s="55">
        <f t="shared" si="17"/>
        <v>5005</v>
      </c>
      <c r="L197" s="32"/>
      <c r="M197" s="32"/>
      <c r="N197" s="32">
        <f>K197*0.3</f>
        <v>1501.5</v>
      </c>
      <c r="O197" s="32"/>
      <c r="P197" s="36"/>
      <c r="Q197" s="32">
        <f t="shared" si="19"/>
        <v>4879.875</v>
      </c>
      <c r="R197" s="40">
        <v>9</v>
      </c>
    </row>
    <row r="198" spans="1:18" ht="103.5" customHeight="1">
      <c r="A198" s="37">
        <v>14</v>
      </c>
      <c r="B198" s="30" t="s">
        <v>135</v>
      </c>
      <c r="C198" s="302">
        <v>0.5</v>
      </c>
      <c r="D198" s="32">
        <v>5005</v>
      </c>
      <c r="E198" s="32"/>
      <c r="F198" s="32"/>
      <c r="G198" s="32"/>
      <c r="H198" s="32">
        <f>D198*0.15</f>
        <v>750.75</v>
      </c>
      <c r="I198" s="32"/>
      <c r="J198" s="32"/>
      <c r="K198" s="55">
        <f t="shared" si="17"/>
        <v>5755.75</v>
      </c>
      <c r="L198" s="32"/>
      <c r="M198" s="32"/>
      <c r="N198" s="32">
        <f>K198*0.3</f>
        <v>1726.725</v>
      </c>
      <c r="O198" s="32"/>
      <c r="P198" s="36"/>
      <c r="Q198" s="32">
        <f t="shared" si="19"/>
        <v>3741.2375</v>
      </c>
      <c r="R198" s="40">
        <v>9</v>
      </c>
    </row>
    <row r="199" spans="1:18" ht="114.75">
      <c r="A199" s="37">
        <v>15</v>
      </c>
      <c r="B199" s="30" t="s">
        <v>210</v>
      </c>
      <c r="C199" s="302">
        <v>0.25</v>
      </c>
      <c r="D199" s="32">
        <v>4195</v>
      </c>
      <c r="E199" s="32"/>
      <c r="F199" s="32"/>
      <c r="G199" s="32"/>
      <c r="H199" s="32">
        <f>D199*0.15</f>
        <v>629.25</v>
      </c>
      <c r="I199" s="32"/>
      <c r="J199" s="32"/>
      <c r="K199" s="55">
        <f t="shared" si="17"/>
        <v>4824.25</v>
      </c>
      <c r="L199" s="32"/>
      <c r="M199" s="32"/>
      <c r="N199" s="32">
        <f>K199*0.1</f>
        <v>482.425</v>
      </c>
      <c r="O199" s="32"/>
      <c r="P199" s="36"/>
      <c r="Q199" s="32">
        <f t="shared" si="19"/>
        <v>1326.66875</v>
      </c>
      <c r="R199" s="40">
        <v>6</v>
      </c>
    </row>
    <row r="200" spans="1:18" ht="76.5">
      <c r="A200" s="37">
        <v>16</v>
      </c>
      <c r="B200" s="30" t="s">
        <v>199</v>
      </c>
      <c r="C200" s="302">
        <v>0.75</v>
      </c>
      <c r="D200" s="32">
        <v>4455</v>
      </c>
      <c r="E200" s="32"/>
      <c r="F200" s="32"/>
      <c r="G200" s="32"/>
      <c r="H200" s="32"/>
      <c r="I200" s="32"/>
      <c r="J200" s="32"/>
      <c r="K200" s="55">
        <f t="shared" si="17"/>
        <v>4455</v>
      </c>
      <c r="L200" s="32"/>
      <c r="M200" s="32"/>
      <c r="N200" s="32">
        <f>K200*0.1</f>
        <v>445.5</v>
      </c>
      <c r="O200" s="32"/>
      <c r="P200" s="36"/>
      <c r="Q200" s="32">
        <f t="shared" si="19"/>
        <v>3675.375</v>
      </c>
      <c r="R200" s="40">
        <v>7</v>
      </c>
    </row>
    <row r="201" spans="1:18" ht="76.5">
      <c r="A201" s="37">
        <v>17</v>
      </c>
      <c r="B201" s="108" t="s">
        <v>163</v>
      </c>
      <c r="C201" s="302">
        <v>0.75</v>
      </c>
      <c r="D201" s="55">
        <v>5005</v>
      </c>
      <c r="E201" s="32"/>
      <c r="F201" s="32"/>
      <c r="G201" s="32"/>
      <c r="H201" s="32"/>
      <c r="I201" s="32"/>
      <c r="J201" s="32"/>
      <c r="K201" s="55">
        <f t="shared" si="17"/>
        <v>5005</v>
      </c>
      <c r="L201" s="32"/>
      <c r="M201" s="32"/>
      <c r="N201" s="32">
        <f aca="true" t="shared" si="20" ref="N201:N210">K201*0.3</f>
        <v>1501.5</v>
      </c>
      <c r="O201" s="32"/>
      <c r="P201" s="36"/>
      <c r="Q201" s="32">
        <f t="shared" si="19"/>
        <v>4879.875</v>
      </c>
      <c r="R201" s="40">
        <v>9</v>
      </c>
    </row>
    <row r="202" spans="1:18" ht="76.5">
      <c r="A202" s="37">
        <v>18</v>
      </c>
      <c r="B202" s="30" t="s">
        <v>211</v>
      </c>
      <c r="C202" s="302">
        <v>0.25</v>
      </c>
      <c r="D202" s="55">
        <v>5005</v>
      </c>
      <c r="E202" s="55"/>
      <c r="F202" s="91"/>
      <c r="G202" s="55"/>
      <c r="H202" s="92"/>
      <c r="I202" s="55"/>
      <c r="J202" s="55"/>
      <c r="K202" s="55">
        <f t="shared" si="17"/>
        <v>5005</v>
      </c>
      <c r="L202" s="55"/>
      <c r="M202" s="55"/>
      <c r="N202" s="55">
        <f t="shared" si="20"/>
        <v>1501.5</v>
      </c>
      <c r="O202" s="55"/>
      <c r="P202" s="56"/>
      <c r="Q202" s="146">
        <f t="shared" si="19"/>
        <v>1626.625</v>
      </c>
      <c r="R202" s="40">
        <v>9</v>
      </c>
    </row>
    <row r="203" spans="1:29" s="10" customFormat="1" ht="76.5">
      <c r="A203" s="37">
        <v>19</v>
      </c>
      <c r="B203" s="30" t="s">
        <v>226</v>
      </c>
      <c r="C203" s="302">
        <v>0.75</v>
      </c>
      <c r="D203" s="32">
        <v>5005</v>
      </c>
      <c r="E203" s="32"/>
      <c r="F203" s="32"/>
      <c r="G203" s="32"/>
      <c r="H203" s="109">
        <f>D203*0.25</f>
        <v>1251.25</v>
      </c>
      <c r="I203" s="109"/>
      <c r="J203" s="109"/>
      <c r="K203" s="55">
        <f t="shared" si="17"/>
        <v>6256.25</v>
      </c>
      <c r="L203" s="109"/>
      <c r="M203" s="109"/>
      <c r="N203" s="109">
        <f t="shared" si="20"/>
        <v>1876.875</v>
      </c>
      <c r="O203" s="32"/>
      <c r="P203" s="36"/>
      <c r="Q203" s="32">
        <f t="shared" si="19"/>
        <v>6099.84375</v>
      </c>
      <c r="R203" s="40">
        <v>9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18" ht="76.5">
      <c r="A204" s="37">
        <v>20</v>
      </c>
      <c r="B204" s="30" t="s">
        <v>206</v>
      </c>
      <c r="C204" s="302">
        <v>0.75</v>
      </c>
      <c r="D204" s="32">
        <v>4195</v>
      </c>
      <c r="E204" s="32"/>
      <c r="F204" s="32"/>
      <c r="G204" s="32"/>
      <c r="H204" s="109"/>
      <c r="I204" s="109"/>
      <c r="J204" s="109"/>
      <c r="K204" s="55">
        <f>SUM(D204:J204)</f>
        <v>4195</v>
      </c>
      <c r="L204" s="109"/>
      <c r="M204" s="109"/>
      <c r="N204" s="109">
        <f>K204*0.1</f>
        <v>419.5</v>
      </c>
      <c r="O204" s="32"/>
      <c r="P204" s="36"/>
      <c r="Q204" s="32">
        <f>SUM(K204:P204)*C204</f>
        <v>3460.875</v>
      </c>
      <c r="R204" s="40">
        <v>6</v>
      </c>
    </row>
    <row r="205" spans="1:18" ht="76.5">
      <c r="A205" s="37">
        <v>21</v>
      </c>
      <c r="B205" s="30" t="s">
        <v>257</v>
      </c>
      <c r="C205" s="302">
        <v>0.75</v>
      </c>
      <c r="D205" s="32">
        <v>4745</v>
      </c>
      <c r="E205" s="32"/>
      <c r="F205" s="32"/>
      <c r="G205" s="32"/>
      <c r="H205" s="109"/>
      <c r="I205" s="109"/>
      <c r="J205" s="109"/>
      <c r="K205" s="55">
        <f t="shared" si="17"/>
        <v>4745</v>
      </c>
      <c r="L205" s="109"/>
      <c r="M205" s="109"/>
      <c r="N205" s="109">
        <f t="shared" si="20"/>
        <v>1423.5</v>
      </c>
      <c r="O205" s="32"/>
      <c r="P205" s="36"/>
      <c r="Q205" s="32">
        <f t="shared" si="19"/>
        <v>4626.375</v>
      </c>
      <c r="R205" s="40">
        <v>8</v>
      </c>
    </row>
    <row r="206" spans="1:18" ht="76.5">
      <c r="A206" s="37">
        <v>22</v>
      </c>
      <c r="B206" s="30" t="s">
        <v>225</v>
      </c>
      <c r="C206" s="381">
        <v>0.5</v>
      </c>
      <c r="D206" s="32">
        <v>5005</v>
      </c>
      <c r="E206" s="32"/>
      <c r="F206" s="32"/>
      <c r="G206" s="32"/>
      <c r="H206" s="109"/>
      <c r="I206" s="109"/>
      <c r="J206" s="109"/>
      <c r="K206" s="55">
        <f t="shared" si="17"/>
        <v>5005</v>
      </c>
      <c r="L206" s="109"/>
      <c r="M206" s="109"/>
      <c r="N206" s="109">
        <f t="shared" si="20"/>
        <v>1501.5</v>
      </c>
      <c r="O206" s="32"/>
      <c r="P206" s="36"/>
      <c r="Q206" s="32">
        <f t="shared" si="19"/>
        <v>3253.25</v>
      </c>
      <c r="R206" s="40">
        <v>9</v>
      </c>
    </row>
    <row r="207" spans="1:18" ht="82.5" customHeight="1">
      <c r="A207" s="37">
        <v>23</v>
      </c>
      <c r="B207" s="30" t="s">
        <v>278</v>
      </c>
      <c r="C207" s="302">
        <v>0.25</v>
      </c>
      <c r="D207" s="32">
        <v>5005</v>
      </c>
      <c r="E207" s="32"/>
      <c r="F207" s="32"/>
      <c r="G207" s="32"/>
      <c r="H207" s="109"/>
      <c r="I207" s="109"/>
      <c r="J207" s="109"/>
      <c r="K207" s="55">
        <f t="shared" si="17"/>
        <v>5005</v>
      </c>
      <c r="L207" s="109"/>
      <c r="M207" s="109"/>
      <c r="N207" s="109">
        <f t="shared" si="20"/>
        <v>1501.5</v>
      </c>
      <c r="O207" s="32"/>
      <c r="P207" s="36"/>
      <c r="Q207" s="32">
        <f t="shared" si="19"/>
        <v>1626.625</v>
      </c>
      <c r="R207" s="40">
        <v>9</v>
      </c>
    </row>
    <row r="208" spans="1:18" ht="74.25" customHeight="1">
      <c r="A208" s="37">
        <v>24</v>
      </c>
      <c r="B208" s="30" t="s">
        <v>279</v>
      </c>
      <c r="C208" s="302">
        <v>0.5</v>
      </c>
      <c r="D208" s="32">
        <v>5005</v>
      </c>
      <c r="E208" s="32"/>
      <c r="F208" s="32"/>
      <c r="G208" s="32"/>
      <c r="H208" s="109"/>
      <c r="I208" s="109"/>
      <c r="J208" s="109"/>
      <c r="K208" s="55">
        <f t="shared" si="17"/>
        <v>5005</v>
      </c>
      <c r="L208" s="109"/>
      <c r="M208" s="109"/>
      <c r="N208" s="109">
        <f t="shared" si="20"/>
        <v>1501.5</v>
      </c>
      <c r="O208" s="32"/>
      <c r="P208" s="36"/>
      <c r="Q208" s="32">
        <f t="shared" si="19"/>
        <v>3253.25</v>
      </c>
      <c r="R208" s="40">
        <v>9</v>
      </c>
    </row>
    <row r="209" spans="1:18" ht="74.25" customHeight="1">
      <c r="A209" s="37">
        <v>25</v>
      </c>
      <c r="B209" s="30" t="s">
        <v>318</v>
      </c>
      <c r="C209" s="302">
        <v>0.75</v>
      </c>
      <c r="D209" s="32">
        <v>5005</v>
      </c>
      <c r="E209" s="32"/>
      <c r="F209" s="32"/>
      <c r="G209" s="32"/>
      <c r="H209" s="109"/>
      <c r="I209" s="109"/>
      <c r="J209" s="109"/>
      <c r="K209" s="55">
        <f t="shared" si="17"/>
        <v>5005</v>
      </c>
      <c r="L209" s="109"/>
      <c r="M209" s="109"/>
      <c r="N209" s="109">
        <f t="shared" si="20"/>
        <v>1501.5</v>
      </c>
      <c r="O209" s="32"/>
      <c r="P209" s="36"/>
      <c r="Q209" s="32">
        <f t="shared" si="19"/>
        <v>4879.875</v>
      </c>
      <c r="R209" s="40">
        <v>9</v>
      </c>
    </row>
    <row r="210" spans="1:18" ht="74.25" customHeight="1">
      <c r="A210" s="37">
        <v>26</v>
      </c>
      <c r="B210" s="30" t="s">
        <v>298</v>
      </c>
      <c r="C210" s="381">
        <v>0.5</v>
      </c>
      <c r="D210" s="32">
        <v>5005</v>
      </c>
      <c r="E210" s="32"/>
      <c r="F210" s="32"/>
      <c r="G210" s="32"/>
      <c r="H210" s="109"/>
      <c r="I210" s="109"/>
      <c r="J210" s="109"/>
      <c r="K210" s="55">
        <f t="shared" si="17"/>
        <v>5005</v>
      </c>
      <c r="L210" s="109"/>
      <c r="M210" s="109"/>
      <c r="N210" s="109">
        <f t="shared" si="20"/>
        <v>1501.5</v>
      </c>
      <c r="O210" s="32"/>
      <c r="P210" s="36"/>
      <c r="Q210" s="32">
        <f t="shared" si="19"/>
        <v>3253.25</v>
      </c>
      <c r="R210" s="40">
        <v>9</v>
      </c>
    </row>
    <row r="211" spans="1:18" ht="38.25">
      <c r="A211" s="489" t="s">
        <v>18</v>
      </c>
      <c r="B211" s="489"/>
      <c r="C211" s="306">
        <f>SUM(C184:C210)</f>
        <v>16.75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6"/>
      <c r="Q211" s="335">
        <f>SUM(Q184:Q210)</f>
        <v>139350.525</v>
      </c>
      <c r="R211" s="40"/>
    </row>
    <row r="212" spans="1:18" ht="52.5" customHeight="1">
      <c r="A212" s="246"/>
      <c r="B212" s="246"/>
      <c r="C212" s="305"/>
      <c r="D212" s="291"/>
      <c r="E212" s="330"/>
      <c r="F212" s="330"/>
      <c r="G212" s="330"/>
      <c r="H212" s="330"/>
      <c r="I212" s="330"/>
      <c r="J212" s="330"/>
      <c r="K212" s="330"/>
      <c r="L212" s="330"/>
      <c r="M212" s="330"/>
      <c r="N212" s="291"/>
      <c r="O212" s="291"/>
      <c r="P212" s="158"/>
      <c r="Q212" s="292"/>
      <c r="R212" s="161"/>
    </row>
    <row r="213" spans="1:18" ht="49.5" customHeight="1">
      <c r="A213" s="147"/>
      <c r="B213" s="49"/>
      <c r="C213" s="375"/>
      <c r="D213" s="49"/>
      <c r="E213" s="490" t="s">
        <v>81</v>
      </c>
      <c r="F213" s="490"/>
      <c r="G213" s="490"/>
      <c r="H213" s="490"/>
      <c r="I213" s="490"/>
      <c r="J213" s="490"/>
      <c r="K213" s="490"/>
      <c r="L213" s="490"/>
      <c r="M213" s="490"/>
      <c r="N213" s="49"/>
      <c r="O213" s="49"/>
      <c r="P213" s="49"/>
      <c r="Q213" s="49"/>
      <c r="R213" s="49"/>
    </row>
    <row r="214" spans="1:18" ht="36.75" customHeight="1">
      <c r="A214" s="50">
        <v>1</v>
      </c>
      <c r="B214" s="51">
        <v>2</v>
      </c>
      <c r="C214" s="411">
        <v>3</v>
      </c>
      <c r="D214" s="51">
        <v>4</v>
      </c>
      <c r="E214" s="51">
        <v>5</v>
      </c>
      <c r="F214" s="51">
        <v>6</v>
      </c>
      <c r="G214" s="51">
        <v>7</v>
      </c>
      <c r="H214" s="51">
        <v>8</v>
      </c>
      <c r="I214" s="51">
        <v>9</v>
      </c>
      <c r="J214" s="51">
        <v>10</v>
      </c>
      <c r="K214" s="51">
        <v>11</v>
      </c>
      <c r="L214" s="51">
        <v>12</v>
      </c>
      <c r="M214" s="51">
        <v>13</v>
      </c>
      <c r="N214" s="51">
        <v>14</v>
      </c>
      <c r="O214" s="51">
        <v>15</v>
      </c>
      <c r="P214" s="51">
        <v>16</v>
      </c>
      <c r="Q214" s="51">
        <v>17</v>
      </c>
      <c r="R214" s="51">
        <v>18</v>
      </c>
    </row>
    <row r="215" spans="1:18" ht="36" customHeight="1">
      <c r="A215" s="141">
        <v>1</v>
      </c>
      <c r="B215" s="30" t="s">
        <v>34</v>
      </c>
      <c r="C215" s="382">
        <v>1</v>
      </c>
      <c r="D215" s="32">
        <v>3674</v>
      </c>
      <c r="E215" s="32"/>
      <c r="F215" s="32"/>
      <c r="G215" s="32"/>
      <c r="H215" s="32"/>
      <c r="I215" s="32"/>
      <c r="J215" s="32"/>
      <c r="K215" s="55">
        <f>SUM(D215:J215)</f>
        <v>3674</v>
      </c>
      <c r="L215" s="32"/>
      <c r="M215" s="32"/>
      <c r="N215" s="32"/>
      <c r="O215" s="32"/>
      <c r="P215" s="32"/>
      <c r="Q215" s="32">
        <f>SUM(K215:P215)*C215</f>
        <v>3674</v>
      </c>
      <c r="R215" s="40">
        <v>4</v>
      </c>
    </row>
    <row r="216" spans="1:18" ht="75" customHeight="1">
      <c r="A216" s="141">
        <v>2</v>
      </c>
      <c r="B216" s="53" t="s">
        <v>35</v>
      </c>
      <c r="C216" s="295">
        <v>4</v>
      </c>
      <c r="D216" s="32">
        <v>3414</v>
      </c>
      <c r="E216" s="32"/>
      <c r="F216" s="55"/>
      <c r="G216" s="55"/>
      <c r="H216" s="55"/>
      <c r="I216" s="55"/>
      <c r="J216" s="55"/>
      <c r="K216" s="55">
        <f>SUM(D216:J216)</f>
        <v>3414</v>
      </c>
      <c r="L216" s="55"/>
      <c r="M216" s="55"/>
      <c r="N216" s="55"/>
      <c r="O216" s="32"/>
      <c r="P216" s="55">
        <f>K216*10%</f>
        <v>341.40000000000003</v>
      </c>
      <c r="Q216" s="32">
        <f>(K216+O216+P216)*C216</f>
        <v>15021.6</v>
      </c>
      <c r="R216" s="56">
        <v>3</v>
      </c>
    </row>
    <row r="217" spans="1:18" ht="38.25">
      <c r="A217" s="438" t="s">
        <v>18</v>
      </c>
      <c r="B217" s="439"/>
      <c r="C217" s="383">
        <f>C218+C219</f>
        <v>5</v>
      </c>
      <c r="D217" s="36"/>
      <c r="E217" s="84"/>
      <c r="F217" s="84"/>
      <c r="G217" s="84"/>
      <c r="H217" s="148"/>
      <c r="I217" s="148"/>
      <c r="J217" s="148"/>
      <c r="K217" s="148"/>
      <c r="L217" s="148"/>
      <c r="M217" s="148"/>
      <c r="N217" s="148"/>
      <c r="O217" s="148"/>
      <c r="P217" s="148"/>
      <c r="Q217" s="336">
        <f>SUM(Q215:Q216)</f>
        <v>18695.6</v>
      </c>
      <c r="R217" s="56"/>
    </row>
    <row r="218" spans="1:18" ht="42" customHeight="1">
      <c r="A218" s="149"/>
      <c r="B218" s="149" t="s">
        <v>44</v>
      </c>
      <c r="C218" s="384">
        <f>SUM(C216:C216)</f>
        <v>4</v>
      </c>
      <c r="D218" s="150"/>
      <c r="E218" s="150"/>
      <c r="F218" s="150"/>
      <c r="G218" s="150"/>
      <c r="H218" s="151"/>
      <c r="I218" s="151"/>
      <c r="J218" s="151"/>
      <c r="K218" s="151"/>
      <c r="L218" s="151"/>
      <c r="M218" s="151"/>
      <c r="N218" s="151"/>
      <c r="O218" s="151"/>
      <c r="P218" s="151"/>
      <c r="Q218" s="337">
        <f>SUM(Q216:Q216)</f>
        <v>15021.6</v>
      </c>
      <c r="R218" s="152"/>
    </row>
    <row r="219" spans="1:18" ht="41.25" customHeight="1">
      <c r="A219" s="153"/>
      <c r="B219" s="153" t="s">
        <v>53</v>
      </c>
      <c r="C219" s="385">
        <f>C215</f>
        <v>1</v>
      </c>
      <c r="D219" s="154"/>
      <c r="E219" s="154"/>
      <c r="F219" s="154"/>
      <c r="G219" s="154"/>
      <c r="H219" s="155"/>
      <c r="I219" s="155"/>
      <c r="J219" s="155"/>
      <c r="K219" s="155"/>
      <c r="L219" s="155"/>
      <c r="M219" s="155"/>
      <c r="N219" s="155"/>
      <c r="O219" s="155"/>
      <c r="P219" s="155"/>
      <c r="Q219" s="338">
        <f>Q215</f>
        <v>3674</v>
      </c>
      <c r="R219" s="156"/>
    </row>
    <row r="220" spans="1:18" ht="3" customHeight="1" hidden="1">
      <c r="A220" s="157"/>
      <c r="B220" s="157"/>
      <c r="C220" s="386"/>
      <c r="D220" s="158"/>
      <c r="E220" s="158"/>
      <c r="F220" s="158"/>
      <c r="G220" s="158"/>
      <c r="H220" s="159"/>
      <c r="I220" s="159"/>
      <c r="J220" s="159"/>
      <c r="K220" s="159"/>
      <c r="L220" s="159"/>
      <c r="M220" s="159"/>
      <c r="N220" s="159"/>
      <c r="O220" s="159"/>
      <c r="P220" s="159"/>
      <c r="Q220" s="160"/>
      <c r="R220" s="161"/>
    </row>
    <row r="221" spans="1:18" ht="66.75" customHeight="1">
      <c r="A221" s="157"/>
      <c r="B221" s="157"/>
      <c r="C221" s="386"/>
      <c r="D221" s="158"/>
      <c r="E221" s="491" t="s">
        <v>116</v>
      </c>
      <c r="F221" s="491"/>
      <c r="G221" s="491"/>
      <c r="H221" s="491"/>
      <c r="I221" s="491"/>
      <c r="J221" s="491"/>
      <c r="K221" s="491"/>
      <c r="L221" s="159"/>
      <c r="M221" s="159"/>
      <c r="N221" s="159"/>
      <c r="O221" s="159"/>
      <c r="P221" s="159"/>
      <c r="Q221" s="160"/>
      <c r="R221" s="161"/>
    </row>
    <row r="222" spans="1:18" ht="47.25" customHeight="1">
      <c r="A222" s="162">
        <v>1</v>
      </c>
      <c r="B222" s="401" t="s">
        <v>136</v>
      </c>
      <c r="C222" s="387">
        <v>1</v>
      </c>
      <c r="D222" s="163">
        <v>5265</v>
      </c>
      <c r="E222" s="164"/>
      <c r="F222" s="118"/>
      <c r="G222" s="164"/>
      <c r="H222" s="163">
        <f>D222*0.6</f>
        <v>3159</v>
      </c>
      <c r="I222" s="163"/>
      <c r="J222" s="163"/>
      <c r="K222" s="73">
        <f>SUM(D222:J222)</f>
        <v>8424</v>
      </c>
      <c r="L222" s="163">
        <f>K222*0.1</f>
        <v>842.4000000000001</v>
      </c>
      <c r="M222" s="163"/>
      <c r="N222" s="163">
        <f>K222*0.1</f>
        <v>842.4000000000001</v>
      </c>
      <c r="O222" s="163"/>
      <c r="P222" s="165"/>
      <c r="Q222" s="73">
        <f>SUM(K222:P222)*C222</f>
        <v>10108.8</v>
      </c>
      <c r="R222" s="166">
        <v>10</v>
      </c>
    </row>
    <row r="223" spans="1:18" ht="38.25">
      <c r="A223" s="162">
        <v>2</v>
      </c>
      <c r="B223" s="401" t="s">
        <v>212</v>
      </c>
      <c r="C223" s="307">
        <v>0.5</v>
      </c>
      <c r="D223" s="163">
        <v>5265</v>
      </c>
      <c r="E223" s="164"/>
      <c r="F223" s="118"/>
      <c r="G223" s="164"/>
      <c r="H223" s="163">
        <f>D223*0.6</f>
        <v>3159</v>
      </c>
      <c r="I223" s="163"/>
      <c r="J223" s="163"/>
      <c r="K223" s="69">
        <f>SUM(D223:J223)</f>
        <v>8424</v>
      </c>
      <c r="L223" s="163">
        <f>K223*0.1</f>
        <v>842.4000000000001</v>
      </c>
      <c r="M223" s="163"/>
      <c r="N223" s="163">
        <f>K223*0.1</f>
        <v>842.4000000000001</v>
      </c>
      <c r="O223" s="163"/>
      <c r="P223" s="165"/>
      <c r="Q223" s="73">
        <f>SUM(K223:P223)*C223</f>
        <v>5054.4</v>
      </c>
      <c r="R223" s="166">
        <v>10</v>
      </c>
    </row>
    <row r="224" spans="1:18" ht="93" customHeight="1">
      <c r="A224" s="162">
        <v>3</v>
      </c>
      <c r="B224" s="401" t="s">
        <v>230</v>
      </c>
      <c r="C224" s="307">
        <v>0.75</v>
      </c>
      <c r="D224" s="163">
        <v>5005</v>
      </c>
      <c r="E224" s="163"/>
      <c r="F224" s="118"/>
      <c r="G224" s="163"/>
      <c r="H224" s="163">
        <f>D224*0.6</f>
        <v>3003</v>
      </c>
      <c r="I224" s="163"/>
      <c r="J224" s="163"/>
      <c r="K224" s="69">
        <f>SUM(D224:J224)</f>
        <v>8008</v>
      </c>
      <c r="L224" s="163">
        <f>K224*0.1</f>
        <v>800.8000000000001</v>
      </c>
      <c r="M224" s="163"/>
      <c r="N224" s="163">
        <f>K224*0.3</f>
        <v>2402.4</v>
      </c>
      <c r="O224" s="163"/>
      <c r="P224" s="167"/>
      <c r="Q224" s="73">
        <f>SUM(K224:P224)*C224</f>
        <v>8408.4</v>
      </c>
      <c r="R224" s="166">
        <v>9</v>
      </c>
    </row>
    <row r="225" spans="1:18" ht="114.75">
      <c r="A225" s="162">
        <v>4</v>
      </c>
      <c r="B225" s="401" t="s">
        <v>159</v>
      </c>
      <c r="C225" s="307">
        <v>0.75</v>
      </c>
      <c r="D225" s="163">
        <v>5005</v>
      </c>
      <c r="E225" s="163"/>
      <c r="F225" s="118"/>
      <c r="G225" s="163"/>
      <c r="H225" s="163">
        <f>D225*0.6</f>
        <v>3003</v>
      </c>
      <c r="I225" s="163"/>
      <c r="J225" s="163"/>
      <c r="K225" s="69">
        <f>SUM(D225:J225)</f>
        <v>8008</v>
      </c>
      <c r="L225" s="163">
        <f>K225*0.1</f>
        <v>800.8000000000001</v>
      </c>
      <c r="M225" s="163"/>
      <c r="N225" s="163">
        <f>K225*0.3</f>
        <v>2402.4</v>
      </c>
      <c r="O225" s="163"/>
      <c r="P225" s="167"/>
      <c r="Q225" s="73">
        <f>SUM(K225:P225)*C225</f>
        <v>8408.4</v>
      </c>
      <c r="R225" s="166">
        <v>9</v>
      </c>
    </row>
    <row r="226" spans="1:18" ht="37.5" customHeight="1">
      <c r="A226" s="168"/>
      <c r="B226" s="168" t="s">
        <v>18</v>
      </c>
      <c r="C226" s="299">
        <f>SUM(C222:C225)</f>
        <v>3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339">
        <f>SUM(Q222:Q225)</f>
        <v>31980</v>
      </c>
      <c r="R226" s="168"/>
    </row>
    <row r="227" spans="1:18" ht="42.75" customHeight="1">
      <c r="A227" s="100"/>
      <c r="B227" s="169" t="s">
        <v>46</v>
      </c>
      <c r="C227" s="300">
        <f>C222+C223</f>
        <v>1.5</v>
      </c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340">
        <f>Q222+Q223</f>
        <v>15163.199999999999</v>
      </c>
      <c r="R227" s="100"/>
    </row>
    <row r="228" spans="1:18" ht="33.75" customHeight="1">
      <c r="A228" s="100"/>
      <c r="B228" s="169" t="s">
        <v>258</v>
      </c>
      <c r="C228" s="300">
        <f>C224+C225</f>
        <v>1.5</v>
      </c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340">
        <f>Q224+Q225</f>
        <v>16816.8</v>
      </c>
      <c r="R228" s="100"/>
    </row>
    <row r="229" spans="1:18" ht="17.25" customHeight="1" hidden="1">
      <c r="A229" s="171"/>
      <c r="B229" s="172"/>
      <c r="C229" s="388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71"/>
    </row>
    <row r="230" spans="1:18" ht="27.75" customHeight="1" hidden="1">
      <c r="A230" s="492"/>
      <c r="B230" s="492"/>
      <c r="C230" s="492"/>
      <c r="D230" s="492"/>
      <c r="E230" s="492"/>
      <c r="F230" s="492"/>
      <c r="G230" s="492"/>
      <c r="H230" s="492"/>
      <c r="I230" s="492"/>
      <c r="J230" s="492"/>
      <c r="K230" s="492"/>
      <c r="L230" s="492"/>
      <c r="M230" s="492"/>
      <c r="N230" s="492"/>
      <c r="O230" s="492"/>
      <c r="P230" s="492"/>
      <c r="Q230" s="492"/>
      <c r="R230" s="492"/>
    </row>
    <row r="231" spans="1:18" ht="39" customHeight="1">
      <c r="A231" s="49"/>
      <c r="B231" s="175" t="s">
        <v>187</v>
      </c>
      <c r="C231" s="389"/>
      <c r="D231" s="176"/>
      <c r="E231" s="176"/>
      <c r="F231" s="176"/>
      <c r="G231" s="177">
        <f>G232+G234+G235+G236</f>
        <v>51.25</v>
      </c>
      <c r="H231" s="176"/>
      <c r="I231" s="176"/>
      <c r="J231" s="176"/>
      <c r="K231" s="176"/>
      <c r="L231" s="176"/>
      <c r="M231" s="178"/>
      <c r="N231" s="176"/>
      <c r="O231" s="176"/>
      <c r="P231" s="176"/>
      <c r="Q231" s="179">
        <f>Q232+Q234+Q235+Q236</f>
        <v>412058.7784999999</v>
      </c>
      <c r="R231" s="49"/>
    </row>
    <row r="232" spans="1:18" ht="38.25">
      <c r="A232" s="180" t="s">
        <v>188</v>
      </c>
      <c r="B232" s="93" t="s">
        <v>54</v>
      </c>
      <c r="C232" s="376"/>
      <c r="D232" s="94"/>
      <c r="E232" s="94"/>
      <c r="F232" s="94"/>
      <c r="G232" s="182">
        <f>C181+C227</f>
        <v>28</v>
      </c>
      <c r="H232" s="94"/>
      <c r="I232" s="94"/>
      <c r="J232" s="94"/>
      <c r="K232" s="94"/>
      <c r="L232" s="94"/>
      <c r="M232" s="94"/>
      <c r="N232" s="94"/>
      <c r="O232" s="183" t="s">
        <v>51</v>
      </c>
      <c r="P232" s="184"/>
      <c r="Q232" s="138">
        <f>Q181+Q227</f>
        <v>237195.85349999997</v>
      </c>
      <c r="R232" s="49"/>
    </row>
    <row r="233" spans="1:18" ht="38.25">
      <c r="A233" s="180"/>
      <c r="B233" s="185" t="s">
        <v>58</v>
      </c>
      <c r="C233" s="390"/>
      <c r="D233" s="45"/>
      <c r="E233" s="94"/>
      <c r="F233" s="94"/>
      <c r="G233" s="186"/>
      <c r="H233" s="94"/>
      <c r="I233" s="94"/>
      <c r="J233" s="94"/>
      <c r="K233" s="94"/>
      <c r="L233" s="94"/>
      <c r="M233" s="94"/>
      <c r="N233" s="94"/>
      <c r="O233" s="94" t="s">
        <v>76</v>
      </c>
      <c r="P233" s="86"/>
      <c r="Q233" s="187"/>
      <c r="R233" s="49"/>
    </row>
    <row r="234" spans="1:18" ht="38.25">
      <c r="A234" s="180"/>
      <c r="B234" s="493" t="s">
        <v>243</v>
      </c>
      <c r="C234" s="493"/>
      <c r="D234" s="493"/>
      <c r="E234" s="94"/>
      <c r="F234" s="86"/>
      <c r="G234" s="182">
        <f>C211+C228</f>
        <v>18.25</v>
      </c>
      <c r="H234" s="94"/>
      <c r="I234" s="94"/>
      <c r="J234" s="94"/>
      <c r="K234" s="94"/>
      <c r="L234" s="94"/>
      <c r="M234" s="94"/>
      <c r="N234" s="94"/>
      <c r="O234" s="94"/>
      <c r="P234" s="45"/>
      <c r="Q234" s="189">
        <f>Q211+Q228</f>
        <v>156167.32499999998</v>
      </c>
      <c r="R234" s="49"/>
    </row>
    <row r="235" spans="1:18" ht="27.75" customHeight="1">
      <c r="A235" s="49"/>
      <c r="B235" s="86" t="s">
        <v>44</v>
      </c>
      <c r="C235" s="376"/>
      <c r="D235" s="94"/>
      <c r="E235" s="94"/>
      <c r="F235" s="94"/>
      <c r="G235" s="188">
        <f>C218</f>
        <v>4</v>
      </c>
      <c r="H235" s="94"/>
      <c r="I235" s="94"/>
      <c r="J235" s="94"/>
      <c r="K235" s="94"/>
      <c r="L235" s="94"/>
      <c r="M235" s="94"/>
      <c r="N235" s="94"/>
      <c r="O235" s="94"/>
      <c r="P235" s="94"/>
      <c r="Q235" s="138">
        <f>Q218</f>
        <v>15021.6</v>
      </c>
      <c r="R235" s="49"/>
    </row>
    <row r="236" spans="1:18" ht="41.25" customHeight="1">
      <c r="A236" s="49"/>
      <c r="B236" s="86" t="s">
        <v>53</v>
      </c>
      <c r="C236" s="376"/>
      <c r="D236" s="94"/>
      <c r="E236" s="94"/>
      <c r="F236" s="86" t="s">
        <v>36</v>
      </c>
      <c r="G236" s="182">
        <f>C219</f>
        <v>1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138">
        <f>Q219</f>
        <v>3674</v>
      </c>
      <c r="R236" s="49"/>
    </row>
    <row r="237" spans="1:18" ht="41.25" customHeight="1">
      <c r="A237" s="488" t="s">
        <v>120</v>
      </c>
      <c r="B237" s="488"/>
      <c r="C237" s="488"/>
      <c r="D237" s="488"/>
      <c r="E237" s="488"/>
      <c r="F237" s="488"/>
      <c r="G237" s="488"/>
      <c r="H237" s="488"/>
      <c r="I237" s="488"/>
      <c r="J237" s="488"/>
      <c r="K237" s="488"/>
      <c r="L237" s="488"/>
      <c r="M237" s="488"/>
      <c r="N237" s="488"/>
      <c r="O237" s="488"/>
      <c r="P237" s="488"/>
      <c r="Q237" s="488"/>
      <c r="R237" s="488"/>
    </row>
    <row r="238" spans="1:18" ht="15" customHeight="1">
      <c r="A238" s="202"/>
      <c r="B238" s="190"/>
      <c r="C238" s="375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</row>
    <row r="239" spans="1:18" ht="51" customHeight="1">
      <c r="A239" s="494" t="s">
        <v>38</v>
      </c>
      <c r="B239" s="494"/>
      <c r="C239" s="494"/>
      <c r="D239" s="494"/>
      <c r="E239" s="494"/>
      <c r="F239" s="494"/>
      <c r="G239" s="494"/>
      <c r="H239" s="494"/>
      <c r="I239" s="494"/>
      <c r="J239" s="494"/>
      <c r="K239" s="494"/>
      <c r="L239" s="494"/>
      <c r="M239" s="494"/>
      <c r="N239" s="494"/>
      <c r="O239" s="494"/>
      <c r="P239" s="494"/>
      <c r="Q239" s="494"/>
      <c r="R239" s="494"/>
    </row>
    <row r="240" spans="1:18" ht="37.5">
      <c r="A240" s="402">
        <v>1</v>
      </c>
      <c r="B240" s="301">
        <v>2</v>
      </c>
      <c r="C240" s="411">
        <v>3</v>
      </c>
      <c r="D240" s="203">
        <v>4</v>
      </c>
      <c r="E240" s="203">
        <v>5</v>
      </c>
      <c r="F240" s="203">
        <v>6</v>
      </c>
      <c r="G240" s="203">
        <v>7</v>
      </c>
      <c r="H240" s="203">
        <v>8</v>
      </c>
      <c r="I240" s="203">
        <v>9</v>
      </c>
      <c r="J240" s="203">
        <v>10</v>
      </c>
      <c r="K240" s="203">
        <v>11</v>
      </c>
      <c r="L240" s="203">
        <v>12</v>
      </c>
      <c r="M240" s="203">
        <v>13</v>
      </c>
      <c r="N240" s="203">
        <v>14</v>
      </c>
      <c r="O240" s="203">
        <v>15</v>
      </c>
      <c r="P240" s="203">
        <v>16</v>
      </c>
      <c r="Q240" s="203">
        <v>17</v>
      </c>
      <c r="R240" s="203">
        <v>18</v>
      </c>
    </row>
    <row r="241" spans="1:18" ht="79.5" customHeight="1" hidden="1">
      <c r="A241" s="403">
        <v>2</v>
      </c>
      <c r="B241" s="404" t="s">
        <v>177</v>
      </c>
      <c r="C241" s="303"/>
      <c r="D241" s="204">
        <v>3207</v>
      </c>
      <c r="E241" s="204"/>
      <c r="F241" s="204"/>
      <c r="G241" s="204"/>
      <c r="H241" s="204"/>
      <c r="I241" s="204"/>
      <c r="J241" s="204"/>
      <c r="K241" s="69">
        <f>D241</f>
        <v>3207</v>
      </c>
      <c r="L241" s="204"/>
      <c r="M241" s="204"/>
      <c r="N241" s="204">
        <f>K241*0.2</f>
        <v>641.4000000000001</v>
      </c>
      <c r="O241" s="204"/>
      <c r="P241" s="204"/>
      <c r="Q241" s="206">
        <f aca="true" t="shared" si="21" ref="Q241:Q249">SUM(K241:P241)*C241</f>
        <v>0</v>
      </c>
      <c r="R241" s="205">
        <v>10</v>
      </c>
    </row>
    <row r="242" spans="1:18" ht="36.75" customHeight="1">
      <c r="A242" s="403">
        <v>1</v>
      </c>
      <c r="B242" s="397" t="s">
        <v>274</v>
      </c>
      <c r="C242" s="303">
        <v>0.5</v>
      </c>
      <c r="D242" s="204">
        <v>5265</v>
      </c>
      <c r="E242" s="204"/>
      <c r="F242" s="204"/>
      <c r="G242" s="204"/>
      <c r="H242" s="204"/>
      <c r="I242" s="204"/>
      <c r="J242" s="204"/>
      <c r="K242" s="69">
        <f aca="true" t="shared" si="22" ref="K242:K249">SUM(D242:J242)</f>
        <v>5265</v>
      </c>
      <c r="L242" s="204"/>
      <c r="M242" s="204"/>
      <c r="N242" s="204">
        <f>K242*0.1</f>
        <v>526.5</v>
      </c>
      <c r="O242" s="204"/>
      <c r="P242" s="204"/>
      <c r="Q242" s="207">
        <f t="shared" si="21"/>
        <v>2895.75</v>
      </c>
      <c r="R242" s="205">
        <v>10</v>
      </c>
    </row>
    <row r="243" spans="1:18" ht="67.5" customHeight="1">
      <c r="A243" s="398">
        <v>2</v>
      </c>
      <c r="B243" s="397" t="s">
        <v>139</v>
      </c>
      <c r="C243" s="303">
        <v>1</v>
      </c>
      <c r="D243" s="69">
        <v>5005</v>
      </c>
      <c r="E243" s="69"/>
      <c r="F243" s="83"/>
      <c r="G243" s="69"/>
      <c r="H243" s="204">
        <f>D243*0.15</f>
        <v>750.75</v>
      </c>
      <c r="I243" s="69"/>
      <c r="J243" s="69"/>
      <c r="K243" s="69">
        <f t="shared" si="22"/>
        <v>5755.75</v>
      </c>
      <c r="L243" s="69"/>
      <c r="M243" s="69"/>
      <c r="N243" s="204">
        <f>K243*0.3</f>
        <v>1726.725</v>
      </c>
      <c r="O243" s="69"/>
      <c r="P243" s="69"/>
      <c r="Q243" s="207">
        <f t="shared" si="21"/>
        <v>7482.475</v>
      </c>
      <c r="R243" s="74">
        <v>9</v>
      </c>
    </row>
    <row r="244" spans="1:18" ht="70.5">
      <c r="A244" s="398">
        <v>3</v>
      </c>
      <c r="B244" s="397" t="s">
        <v>109</v>
      </c>
      <c r="C244" s="303">
        <v>0.25</v>
      </c>
      <c r="D244" s="69">
        <v>4745</v>
      </c>
      <c r="E244" s="69"/>
      <c r="F244" s="208"/>
      <c r="G244" s="69"/>
      <c r="H244" s="204">
        <f>D244*0.15</f>
        <v>711.75</v>
      </c>
      <c r="I244" s="69"/>
      <c r="J244" s="69"/>
      <c r="K244" s="69">
        <f t="shared" si="22"/>
        <v>5456.75</v>
      </c>
      <c r="L244" s="69"/>
      <c r="M244" s="69"/>
      <c r="N244" s="204">
        <f>K244*0.3</f>
        <v>1637.0249999999999</v>
      </c>
      <c r="O244" s="69"/>
      <c r="P244" s="69"/>
      <c r="Q244" s="207">
        <f t="shared" si="21"/>
        <v>1773.44375</v>
      </c>
      <c r="R244" s="74">
        <v>8</v>
      </c>
    </row>
    <row r="245" spans="1:18" ht="70.5">
      <c r="A245" s="398">
        <v>4</v>
      </c>
      <c r="B245" s="397" t="s">
        <v>207</v>
      </c>
      <c r="C245" s="303">
        <v>1</v>
      </c>
      <c r="D245" s="69">
        <v>4195</v>
      </c>
      <c r="E245" s="69"/>
      <c r="F245" s="208"/>
      <c r="G245" s="69"/>
      <c r="H245" s="204">
        <f>D245*0.15</f>
        <v>629.25</v>
      </c>
      <c r="I245" s="69"/>
      <c r="J245" s="69"/>
      <c r="K245" s="69">
        <f t="shared" si="22"/>
        <v>4824.25</v>
      </c>
      <c r="L245" s="69"/>
      <c r="M245" s="69"/>
      <c r="N245" s="204">
        <f>K245*0.1</f>
        <v>482.425</v>
      </c>
      <c r="O245" s="69"/>
      <c r="P245" s="69"/>
      <c r="Q245" s="207">
        <f>SUM(K245+N245)*C245</f>
        <v>5306.675</v>
      </c>
      <c r="R245" s="74">
        <v>6</v>
      </c>
    </row>
    <row r="246" spans="1:18" ht="79.5" customHeight="1">
      <c r="A246" s="398">
        <v>5</v>
      </c>
      <c r="B246" s="397" t="s">
        <v>170</v>
      </c>
      <c r="C246" s="309">
        <v>1</v>
      </c>
      <c r="D246" s="209">
        <v>4195</v>
      </c>
      <c r="E246" s="209"/>
      <c r="F246" s="209"/>
      <c r="G246" s="209"/>
      <c r="H246" s="209"/>
      <c r="I246" s="209"/>
      <c r="J246" s="209"/>
      <c r="K246" s="69">
        <f t="shared" si="22"/>
        <v>4195</v>
      </c>
      <c r="L246" s="209"/>
      <c r="M246" s="209"/>
      <c r="N246" s="204">
        <f>K246*0.3</f>
        <v>1258.5</v>
      </c>
      <c r="O246" s="209"/>
      <c r="P246" s="209"/>
      <c r="Q246" s="73">
        <f t="shared" si="21"/>
        <v>5453.5</v>
      </c>
      <c r="R246" s="210">
        <v>6</v>
      </c>
    </row>
    <row r="247" spans="1:18" ht="48.75" customHeight="1">
      <c r="A247" s="398">
        <v>6</v>
      </c>
      <c r="B247" s="405" t="s">
        <v>169</v>
      </c>
      <c r="C247" s="309">
        <v>0.75</v>
      </c>
      <c r="D247" s="209">
        <v>4195</v>
      </c>
      <c r="E247" s="209"/>
      <c r="F247" s="209"/>
      <c r="G247" s="209"/>
      <c r="H247" s="209"/>
      <c r="I247" s="209"/>
      <c r="J247" s="209"/>
      <c r="K247" s="69">
        <f t="shared" si="22"/>
        <v>4195</v>
      </c>
      <c r="L247" s="209"/>
      <c r="M247" s="209"/>
      <c r="N247" s="204">
        <f>K247*0.1</f>
        <v>419.5</v>
      </c>
      <c r="O247" s="209"/>
      <c r="P247" s="209"/>
      <c r="Q247" s="73">
        <f t="shared" si="21"/>
        <v>3460.875</v>
      </c>
      <c r="R247" s="210">
        <v>6</v>
      </c>
    </row>
    <row r="248" spans="1:18" ht="43.5" customHeight="1">
      <c r="A248" s="398">
        <v>7</v>
      </c>
      <c r="B248" s="405" t="s">
        <v>231</v>
      </c>
      <c r="C248" s="309">
        <v>0.25</v>
      </c>
      <c r="D248" s="209">
        <v>5005</v>
      </c>
      <c r="E248" s="209"/>
      <c r="F248" s="209"/>
      <c r="G248" s="209"/>
      <c r="H248" s="209"/>
      <c r="I248" s="209"/>
      <c r="J248" s="209"/>
      <c r="K248" s="69">
        <f t="shared" si="22"/>
        <v>5005</v>
      </c>
      <c r="L248" s="209"/>
      <c r="M248" s="209"/>
      <c r="N248" s="204">
        <f>K248*0.3</f>
        <v>1501.5</v>
      </c>
      <c r="O248" s="209"/>
      <c r="P248" s="209"/>
      <c r="Q248" s="73">
        <f t="shared" si="21"/>
        <v>1626.625</v>
      </c>
      <c r="R248" s="210">
        <v>9</v>
      </c>
    </row>
    <row r="249" spans="1:18" ht="72" customHeight="1">
      <c r="A249" s="398">
        <v>8</v>
      </c>
      <c r="B249" s="406" t="s">
        <v>259</v>
      </c>
      <c r="C249" s="307">
        <v>0.5</v>
      </c>
      <c r="D249" s="163">
        <v>3414</v>
      </c>
      <c r="E249" s="163"/>
      <c r="F249" s="163"/>
      <c r="G249" s="163"/>
      <c r="H249" s="163">
        <f>D249*0.15</f>
        <v>512.1</v>
      </c>
      <c r="I249" s="163"/>
      <c r="J249" s="163"/>
      <c r="K249" s="69">
        <f t="shared" si="22"/>
        <v>3926.1</v>
      </c>
      <c r="L249" s="163"/>
      <c r="M249" s="163"/>
      <c r="N249" s="163"/>
      <c r="O249" s="163"/>
      <c r="P249" s="163">
        <f>D249*10%</f>
        <v>341.40000000000003</v>
      </c>
      <c r="Q249" s="73">
        <f t="shared" si="21"/>
        <v>2133.75</v>
      </c>
      <c r="R249" s="166">
        <v>3</v>
      </c>
    </row>
    <row r="250" spans="1:18" ht="34.5" customHeight="1" thickBot="1">
      <c r="A250" s="495" t="s">
        <v>18</v>
      </c>
      <c r="B250" s="496"/>
      <c r="C250" s="298">
        <f>SUM(C241:C249)</f>
        <v>5.25</v>
      </c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2">
        <f>SUM(Q241:Q249)</f>
        <v>30133.09375</v>
      </c>
      <c r="R250" s="213"/>
    </row>
    <row r="251" spans="1:18" ht="41.25" customHeight="1">
      <c r="A251" s="407"/>
      <c r="B251" s="408" t="s">
        <v>54</v>
      </c>
      <c r="C251" s="305">
        <f>C242</f>
        <v>0.5</v>
      </c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341">
        <f>Q242</f>
        <v>2895.75</v>
      </c>
      <c r="R251" s="161"/>
    </row>
    <row r="252" spans="1:18" ht="48.75" customHeight="1">
      <c r="A252" s="161"/>
      <c r="B252" s="197" t="s">
        <v>55</v>
      </c>
      <c r="C252" s="305">
        <f>SUM(C243+C246+C247+C244+C248)+C245</f>
        <v>4.25</v>
      </c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341">
        <f>SUM(Q243+Q246+Q247+Q244+Q248)+Q245</f>
        <v>25103.593749999996</v>
      </c>
      <c r="R252" s="161"/>
    </row>
    <row r="253" spans="1:18" ht="33" customHeight="1">
      <c r="A253" s="161"/>
      <c r="B253" s="197" t="s">
        <v>44</v>
      </c>
      <c r="C253" s="305">
        <f>C249</f>
        <v>0.5</v>
      </c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342">
        <f>Q249</f>
        <v>2133.75</v>
      </c>
      <c r="R253" s="161"/>
    </row>
    <row r="254" spans="1:18" ht="138.75" customHeight="1">
      <c r="A254" s="497" t="s">
        <v>40</v>
      </c>
      <c r="B254" s="497"/>
      <c r="C254" s="497"/>
      <c r="D254" s="497"/>
      <c r="E254" s="497"/>
      <c r="F254" s="497"/>
      <c r="G254" s="497"/>
      <c r="H254" s="497"/>
      <c r="I254" s="497"/>
      <c r="J254" s="497"/>
      <c r="K254" s="497"/>
      <c r="L254" s="497"/>
      <c r="M254" s="497"/>
      <c r="N254" s="497"/>
      <c r="O254" s="497"/>
      <c r="P254" s="497"/>
      <c r="Q254" s="497"/>
      <c r="R254" s="497"/>
    </row>
    <row r="255" spans="1:18" ht="37.5">
      <c r="A255" s="50">
        <v>1</v>
      </c>
      <c r="B255" s="51">
        <v>2</v>
      </c>
      <c r="C255" s="411">
        <v>3</v>
      </c>
      <c r="D255" s="51">
        <v>4</v>
      </c>
      <c r="E255" s="51">
        <v>5</v>
      </c>
      <c r="F255" s="51">
        <v>6</v>
      </c>
      <c r="G255" s="51">
        <v>7</v>
      </c>
      <c r="H255" s="51">
        <v>8</v>
      </c>
      <c r="I255" s="51">
        <v>9</v>
      </c>
      <c r="J255" s="51">
        <v>10</v>
      </c>
      <c r="K255" s="51">
        <v>11</v>
      </c>
      <c r="L255" s="51">
        <v>12</v>
      </c>
      <c r="M255" s="51">
        <v>13</v>
      </c>
      <c r="N255" s="51">
        <v>14</v>
      </c>
      <c r="O255" s="51">
        <v>15</v>
      </c>
      <c r="P255" s="51">
        <v>16</v>
      </c>
      <c r="Q255" s="51">
        <v>17</v>
      </c>
      <c r="R255" s="51">
        <v>18</v>
      </c>
    </row>
    <row r="256" spans="1:18" ht="76.5">
      <c r="A256" s="96">
        <v>1</v>
      </c>
      <c r="B256" s="53" t="s">
        <v>149</v>
      </c>
      <c r="C256" s="295">
        <v>0.5</v>
      </c>
      <c r="D256" s="55">
        <v>5265</v>
      </c>
      <c r="E256" s="55">
        <f>D256*0.1</f>
        <v>526.5</v>
      </c>
      <c r="F256" s="55"/>
      <c r="G256" s="55"/>
      <c r="H256" s="55"/>
      <c r="I256" s="55"/>
      <c r="J256" s="55"/>
      <c r="K256" s="55">
        <f>SUM(D256:J256)</f>
        <v>5791.5</v>
      </c>
      <c r="L256" s="55"/>
      <c r="M256" s="55"/>
      <c r="N256" s="55">
        <f>K256*0.3</f>
        <v>1737.45</v>
      </c>
      <c r="O256" s="55"/>
      <c r="P256" s="55"/>
      <c r="Q256" s="32">
        <f>SUM(K256:P256)*C256</f>
        <v>3764.475</v>
      </c>
      <c r="R256" s="56">
        <v>10</v>
      </c>
    </row>
    <row r="257" spans="1:18" ht="111" customHeight="1">
      <c r="A257" s="96">
        <v>2</v>
      </c>
      <c r="B257" s="53" t="s">
        <v>150</v>
      </c>
      <c r="C257" s="295">
        <v>3.25</v>
      </c>
      <c r="D257" s="55">
        <v>5265</v>
      </c>
      <c r="E257" s="55"/>
      <c r="F257" s="55"/>
      <c r="G257" s="55"/>
      <c r="H257" s="55"/>
      <c r="I257" s="55"/>
      <c r="J257" s="55"/>
      <c r="K257" s="55">
        <f>SUM(D257:J257)</f>
        <v>5265</v>
      </c>
      <c r="L257" s="55"/>
      <c r="M257" s="55"/>
      <c r="N257" s="55">
        <f>K257*0.3</f>
        <v>1579.5</v>
      </c>
      <c r="O257" s="55"/>
      <c r="P257" s="55"/>
      <c r="Q257" s="32">
        <f>SUM(K257:P257)*C257</f>
        <v>22244.625</v>
      </c>
      <c r="R257" s="56">
        <v>10</v>
      </c>
    </row>
    <row r="258" spans="1:18" ht="99" customHeight="1">
      <c r="A258" s="96">
        <v>3</v>
      </c>
      <c r="B258" s="53" t="s">
        <v>204</v>
      </c>
      <c r="C258" s="295">
        <v>1</v>
      </c>
      <c r="D258" s="55">
        <v>4455</v>
      </c>
      <c r="E258" s="55"/>
      <c r="F258" s="55"/>
      <c r="G258" s="55"/>
      <c r="H258" s="55"/>
      <c r="I258" s="55"/>
      <c r="J258" s="55"/>
      <c r="K258" s="55">
        <f>SUM(D258:J258)</f>
        <v>4455</v>
      </c>
      <c r="L258" s="55"/>
      <c r="M258" s="55"/>
      <c r="N258" s="55">
        <f>K258*0.1</f>
        <v>445.5</v>
      </c>
      <c r="O258" s="55"/>
      <c r="P258" s="55"/>
      <c r="Q258" s="32">
        <f>SUM(K258:P258)*C258</f>
        <v>4900.5</v>
      </c>
      <c r="R258" s="56">
        <v>7</v>
      </c>
    </row>
    <row r="259" spans="1:18" ht="100.5" customHeight="1">
      <c r="A259" s="96">
        <v>4</v>
      </c>
      <c r="B259" s="53" t="s">
        <v>41</v>
      </c>
      <c r="C259" s="295">
        <v>1.5</v>
      </c>
      <c r="D259" s="55">
        <v>3674</v>
      </c>
      <c r="E259" s="55"/>
      <c r="F259" s="55"/>
      <c r="G259" s="55"/>
      <c r="H259" s="55"/>
      <c r="I259" s="55"/>
      <c r="J259" s="55"/>
      <c r="K259" s="55">
        <f>SUM(D259:J259)</f>
        <v>3674</v>
      </c>
      <c r="L259" s="55"/>
      <c r="M259" s="55"/>
      <c r="N259" s="55"/>
      <c r="O259" s="55"/>
      <c r="P259" s="55">
        <f>K259*10%</f>
        <v>367.40000000000003</v>
      </c>
      <c r="Q259" s="32">
        <f>SUM(K259:P259)*C259</f>
        <v>6062.1</v>
      </c>
      <c r="R259" s="56">
        <v>4</v>
      </c>
    </row>
    <row r="260" spans="1:18" ht="102.75" customHeight="1" thickBot="1">
      <c r="A260" s="498" t="s">
        <v>196</v>
      </c>
      <c r="B260" s="499"/>
      <c r="C260" s="298">
        <f>SUM(C256:C259)</f>
        <v>6.25</v>
      </c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6">
        <f>SUM(Q256:Q259)</f>
        <v>36971.7</v>
      </c>
      <c r="R260" s="217"/>
    </row>
    <row r="261" spans="1:18" ht="38.25">
      <c r="A261" s="161"/>
      <c r="B261" s="214"/>
      <c r="C261" s="388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218"/>
      <c r="R261" s="161"/>
    </row>
    <row r="262" spans="1:18" ht="60.75" customHeight="1">
      <c r="A262" s="161"/>
      <c r="B262" s="197" t="s">
        <v>55</v>
      </c>
      <c r="C262" s="300">
        <f>C256+C257+C258</f>
        <v>4.75</v>
      </c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220">
        <f>Q256+Q257+Q258</f>
        <v>30909.6</v>
      </c>
      <c r="R262" s="161"/>
    </row>
    <row r="263" spans="1:18" ht="69" customHeight="1">
      <c r="A263" s="161"/>
      <c r="B263" s="197" t="s">
        <v>44</v>
      </c>
      <c r="C263" s="300">
        <f>C259</f>
        <v>1.5</v>
      </c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220">
        <f>Q259</f>
        <v>6062.1</v>
      </c>
      <c r="R263" s="161"/>
    </row>
    <row r="264" spans="1:18" ht="24" customHeight="1" hidden="1">
      <c r="A264" s="49"/>
      <c r="B264" s="49"/>
      <c r="C264" s="375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68.25" customHeight="1" hidden="1">
      <c r="A265" s="173"/>
      <c r="B265" s="49"/>
      <c r="C265" s="375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80.25" customHeight="1" hidden="1">
      <c r="A266" s="466" t="s">
        <v>56</v>
      </c>
      <c r="B266" s="466"/>
      <c r="C266" s="466"/>
      <c r="D266" s="466"/>
      <c r="E266" s="466"/>
      <c r="F266" s="466"/>
      <c r="G266" s="466"/>
      <c r="H266" s="466"/>
      <c r="I266" s="466"/>
      <c r="J266" s="466"/>
      <c r="K266" s="466"/>
      <c r="L266" s="466"/>
      <c r="M266" s="466"/>
      <c r="N266" s="466"/>
      <c r="O266" s="466"/>
      <c r="P266" s="466"/>
      <c r="Q266" s="466"/>
      <c r="R266" s="466"/>
    </row>
    <row r="267" spans="1:18" ht="79.5" customHeight="1" hidden="1">
      <c r="A267" s="125">
        <v>1</v>
      </c>
      <c r="B267" s="53" t="s">
        <v>160</v>
      </c>
      <c r="C267" s="295">
        <v>0.5</v>
      </c>
      <c r="D267" s="55">
        <v>5005</v>
      </c>
      <c r="E267" s="55">
        <f>D267*0.1</f>
        <v>500.5</v>
      </c>
      <c r="F267" s="55"/>
      <c r="G267" s="55"/>
      <c r="H267" s="55"/>
      <c r="I267" s="55"/>
      <c r="J267" s="55"/>
      <c r="K267" s="55">
        <f>SUM(D267:J267)</f>
        <v>5505.5</v>
      </c>
      <c r="L267" s="55"/>
      <c r="M267" s="55"/>
      <c r="N267" s="55">
        <f>K267*0.3</f>
        <v>1651.6499999999999</v>
      </c>
      <c r="O267" s="55"/>
      <c r="P267" s="84"/>
      <c r="Q267" s="32">
        <f>SUM(K267:P267)*C267</f>
        <v>3578.575</v>
      </c>
      <c r="R267" s="56">
        <v>9</v>
      </c>
    </row>
    <row r="268" spans="1:18" ht="76.5" customHeight="1" hidden="1">
      <c r="A268" s="125">
        <v>2</v>
      </c>
      <c r="B268" s="53" t="s">
        <v>161</v>
      </c>
      <c r="C268" s="295">
        <v>2.5</v>
      </c>
      <c r="D268" s="55">
        <v>5005</v>
      </c>
      <c r="E268" s="55"/>
      <c r="F268" s="55"/>
      <c r="G268" s="55"/>
      <c r="H268" s="55"/>
      <c r="I268" s="55"/>
      <c r="J268" s="55"/>
      <c r="K268" s="55">
        <f>SUM(D268:J268)</f>
        <v>5005</v>
      </c>
      <c r="L268" s="55"/>
      <c r="M268" s="55"/>
      <c r="N268" s="55">
        <f>K268*0.3</f>
        <v>1501.5</v>
      </c>
      <c r="O268" s="55"/>
      <c r="P268" s="84"/>
      <c r="Q268" s="32">
        <f>SUM(K268:P268)*C268</f>
        <v>16266.25</v>
      </c>
      <c r="R268" s="56">
        <v>9</v>
      </c>
    </row>
    <row r="269" spans="1:18" ht="58.5" customHeight="1" hidden="1">
      <c r="A269" s="125">
        <v>3</v>
      </c>
      <c r="B269" s="53" t="s">
        <v>161</v>
      </c>
      <c r="C269" s="295">
        <v>1</v>
      </c>
      <c r="D269" s="55">
        <v>5005</v>
      </c>
      <c r="E269" s="55"/>
      <c r="F269" s="55"/>
      <c r="G269" s="55"/>
      <c r="H269" s="55"/>
      <c r="I269" s="55"/>
      <c r="J269" s="55"/>
      <c r="K269" s="55">
        <f>SUM(D269:J269)</f>
        <v>5005</v>
      </c>
      <c r="L269" s="55"/>
      <c r="M269" s="55"/>
      <c r="N269" s="55">
        <f>K269*0.2</f>
        <v>1001</v>
      </c>
      <c r="O269" s="55"/>
      <c r="P269" s="84"/>
      <c r="Q269" s="32">
        <f>SUM(K269:P269)*C269</f>
        <v>6006</v>
      </c>
      <c r="R269" s="56">
        <v>9</v>
      </c>
    </row>
    <row r="270" spans="1:18" ht="59.25" customHeight="1" hidden="1">
      <c r="A270" s="125">
        <v>4</v>
      </c>
      <c r="B270" s="53" t="s">
        <v>260</v>
      </c>
      <c r="C270" s="295">
        <v>1</v>
      </c>
      <c r="D270" s="55">
        <v>4745</v>
      </c>
      <c r="E270" s="55"/>
      <c r="F270" s="55"/>
      <c r="G270" s="55"/>
      <c r="H270" s="55"/>
      <c r="I270" s="55"/>
      <c r="J270" s="55"/>
      <c r="K270" s="55">
        <f>SUM(D270:J270)</f>
        <v>4745</v>
      </c>
      <c r="L270" s="55"/>
      <c r="M270" s="55"/>
      <c r="N270" s="55">
        <f>K270*0.2</f>
        <v>949</v>
      </c>
      <c r="O270" s="55"/>
      <c r="P270" s="84"/>
      <c r="Q270" s="32">
        <f>SUM(K270:P270)*C270</f>
        <v>5694</v>
      </c>
      <c r="R270" s="56">
        <v>8</v>
      </c>
    </row>
    <row r="271" spans="1:18" ht="79.5" customHeight="1" hidden="1">
      <c r="A271" s="125">
        <v>5</v>
      </c>
      <c r="B271" s="53" t="s">
        <v>42</v>
      </c>
      <c r="C271" s="295">
        <v>4.5</v>
      </c>
      <c r="D271" s="55">
        <v>3414</v>
      </c>
      <c r="E271" s="55"/>
      <c r="F271" s="55"/>
      <c r="G271" s="55"/>
      <c r="H271" s="55"/>
      <c r="I271" s="55"/>
      <c r="J271" s="55"/>
      <c r="K271" s="55">
        <f>SUM(D271:J271)</f>
        <v>3414</v>
      </c>
      <c r="L271" s="55"/>
      <c r="M271" s="55"/>
      <c r="N271" s="55"/>
      <c r="O271" s="55"/>
      <c r="P271" s="84">
        <f>K271*10%</f>
        <v>341.40000000000003</v>
      </c>
      <c r="Q271" s="32">
        <f>SUM(K271:P271)*C271</f>
        <v>16899.3</v>
      </c>
      <c r="R271" s="56">
        <v>3</v>
      </c>
    </row>
    <row r="272" spans="1:18" ht="70.5" customHeight="1" hidden="1">
      <c r="A272" s="438" t="s">
        <v>18</v>
      </c>
      <c r="B272" s="439"/>
      <c r="C272" s="304">
        <f>SUM(C267:C271)</f>
        <v>9.5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84"/>
      <c r="Q272" s="85">
        <f>SUM(Q267:Q271)</f>
        <v>48444.125</v>
      </c>
      <c r="R272" s="56"/>
    </row>
    <row r="273" spans="1:18" ht="2.25" customHeight="1" hidden="1">
      <c r="A273" s="500"/>
      <c r="B273" s="500"/>
      <c r="C273" s="310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3"/>
      <c r="R273" s="49"/>
    </row>
    <row r="274" spans="1:18" ht="53.25" customHeight="1" hidden="1">
      <c r="A274" s="501" t="s">
        <v>55</v>
      </c>
      <c r="B274" s="502"/>
      <c r="C274" s="391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343"/>
      <c r="R274" s="49"/>
    </row>
    <row r="275" spans="1:18" ht="58.5" customHeight="1" hidden="1">
      <c r="A275" s="501" t="s">
        <v>44</v>
      </c>
      <c r="B275" s="501"/>
      <c r="C275" s="391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4"/>
      <c r="R275" s="49"/>
    </row>
    <row r="276" spans="1:18" ht="183" customHeight="1">
      <c r="A276" s="180"/>
      <c r="B276" s="49"/>
      <c r="C276" s="375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42.75" customHeight="1">
      <c r="A277" s="503" t="s">
        <v>95</v>
      </c>
      <c r="B277" s="503"/>
      <c r="C277" s="503"/>
      <c r="D277" s="503"/>
      <c r="E277" s="503"/>
      <c r="F277" s="503"/>
      <c r="G277" s="503"/>
      <c r="H277" s="503"/>
      <c r="I277" s="503"/>
      <c r="J277" s="503"/>
      <c r="K277" s="503"/>
      <c r="L277" s="503"/>
      <c r="M277" s="503"/>
      <c r="N277" s="503"/>
      <c r="O277" s="503"/>
      <c r="P277" s="503"/>
      <c r="Q277" s="503"/>
      <c r="R277" s="503"/>
    </row>
    <row r="278" spans="1:18" ht="37.5">
      <c r="A278" s="50">
        <v>1</v>
      </c>
      <c r="B278" s="51">
        <v>2</v>
      </c>
      <c r="C278" s="411">
        <v>3</v>
      </c>
      <c r="D278" s="51">
        <v>4</v>
      </c>
      <c r="E278" s="51">
        <v>5</v>
      </c>
      <c r="F278" s="51">
        <v>6</v>
      </c>
      <c r="G278" s="51">
        <v>7</v>
      </c>
      <c r="H278" s="51">
        <v>8</v>
      </c>
      <c r="I278" s="51">
        <v>9</v>
      </c>
      <c r="J278" s="51">
        <v>10</v>
      </c>
      <c r="K278" s="51">
        <v>11</v>
      </c>
      <c r="L278" s="51">
        <v>12</v>
      </c>
      <c r="M278" s="51">
        <v>13</v>
      </c>
      <c r="N278" s="51">
        <v>14</v>
      </c>
      <c r="O278" s="51">
        <v>15</v>
      </c>
      <c r="P278" s="51">
        <v>16</v>
      </c>
      <c r="Q278" s="51">
        <v>17</v>
      </c>
      <c r="R278" s="51">
        <v>18</v>
      </c>
    </row>
    <row r="279" spans="1:18" ht="114.75">
      <c r="A279" s="96">
        <v>1</v>
      </c>
      <c r="B279" s="53" t="s">
        <v>43</v>
      </c>
      <c r="C279" s="295">
        <v>0.5</v>
      </c>
      <c r="D279" s="54">
        <v>6567</v>
      </c>
      <c r="E279" s="55">
        <f>D279*0.2</f>
        <v>1313.4</v>
      </c>
      <c r="F279" s="55">
        <f>(D279+E279)*0.3</f>
        <v>2364.12</v>
      </c>
      <c r="G279" s="55"/>
      <c r="H279" s="54">
        <f aca="true" t="shared" si="23" ref="H279:H286">(D279+E279+F279)*0.15</f>
        <v>1536.678</v>
      </c>
      <c r="I279" s="55"/>
      <c r="J279" s="55"/>
      <c r="K279" s="55">
        <f aca="true" t="shared" si="24" ref="K279:K286">SUM(D279:J279)</f>
        <v>11781.198</v>
      </c>
      <c r="L279" s="55"/>
      <c r="M279" s="55"/>
      <c r="N279" s="54">
        <f aca="true" t="shared" si="25" ref="N279:N285">K279*0.3</f>
        <v>3534.3594</v>
      </c>
      <c r="O279" s="55"/>
      <c r="P279" s="84"/>
      <c r="Q279" s="32">
        <f aca="true" t="shared" si="26" ref="Q279:Q286">SUM(K279:P279)*C279</f>
        <v>7657.7787</v>
      </c>
      <c r="R279" s="56">
        <v>13</v>
      </c>
    </row>
    <row r="280" spans="1:18" ht="38.25">
      <c r="A280" s="96">
        <v>2</v>
      </c>
      <c r="B280" s="53" t="s">
        <v>145</v>
      </c>
      <c r="C280" s="295">
        <v>4</v>
      </c>
      <c r="D280" s="54">
        <v>6567</v>
      </c>
      <c r="E280" s="55"/>
      <c r="F280" s="55">
        <f>(D280+E280)*0.2</f>
        <v>1313.4</v>
      </c>
      <c r="G280" s="55"/>
      <c r="H280" s="54">
        <f t="shared" si="23"/>
        <v>1182.06</v>
      </c>
      <c r="I280" s="55"/>
      <c r="J280" s="55"/>
      <c r="K280" s="55">
        <f>SUM(D280:J280)</f>
        <v>9062.46</v>
      </c>
      <c r="L280" s="55"/>
      <c r="M280" s="55"/>
      <c r="N280" s="54">
        <f t="shared" si="25"/>
        <v>2718.738</v>
      </c>
      <c r="O280" s="55"/>
      <c r="P280" s="84"/>
      <c r="Q280" s="32">
        <f>SUM(K280:P280)*C280</f>
        <v>47124.791999999994</v>
      </c>
      <c r="R280" s="56">
        <v>13</v>
      </c>
    </row>
    <row r="281" spans="1:18" ht="38.25">
      <c r="A281" s="96">
        <v>3</v>
      </c>
      <c r="B281" s="53" t="s">
        <v>195</v>
      </c>
      <c r="C281" s="295">
        <v>0.5</v>
      </c>
      <c r="D281" s="54">
        <v>7001</v>
      </c>
      <c r="E281" s="55"/>
      <c r="F281" s="55">
        <f>(D281+E281)*0.2</f>
        <v>1400.2</v>
      </c>
      <c r="G281" s="55"/>
      <c r="H281" s="54">
        <f t="shared" si="23"/>
        <v>1260.18</v>
      </c>
      <c r="I281" s="55"/>
      <c r="J281" s="55"/>
      <c r="K281" s="55">
        <f t="shared" si="24"/>
        <v>9661.380000000001</v>
      </c>
      <c r="L281" s="55"/>
      <c r="M281" s="55"/>
      <c r="N281" s="54">
        <f t="shared" si="25"/>
        <v>2898.414</v>
      </c>
      <c r="O281" s="55"/>
      <c r="P281" s="84"/>
      <c r="Q281" s="32">
        <f t="shared" si="26"/>
        <v>6279.897000000001</v>
      </c>
      <c r="R281" s="56">
        <v>14</v>
      </c>
    </row>
    <row r="282" spans="1:18" ht="76.5">
      <c r="A282" s="96">
        <v>4</v>
      </c>
      <c r="B282" s="53" t="s">
        <v>146</v>
      </c>
      <c r="C282" s="295">
        <v>0.5</v>
      </c>
      <c r="D282" s="54">
        <v>5265</v>
      </c>
      <c r="E282" s="54">
        <f>D282*0.1</f>
        <v>526.5</v>
      </c>
      <c r="F282" s="54"/>
      <c r="G282" s="54"/>
      <c r="H282" s="54">
        <f t="shared" si="23"/>
        <v>868.725</v>
      </c>
      <c r="I282" s="54"/>
      <c r="J282" s="54"/>
      <c r="K282" s="54">
        <f t="shared" si="24"/>
        <v>6660.225</v>
      </c>
      <c r="L282" s="54"/>
      <c r="M282" s="54"/>
      <c r="N282" s="54">
        <f t="shared" si="25"/>
        <v>1998.0675</v>
      </c>
      <c r="O282" s="54"/>
      <c r="P282" s="191"/>
      <c r="Q282" s="32">
        <f t="shared" si="26"/>
        <v>4329.14625</v>
      </c>
      <c r="R282" s="56">
        <v>10</v>
      </c>
    </row>
    <row r="283" spans="1:18" ht="76.5">
      <c r="A283" s="96">
        <v>5</v>
      </c>
      <c r="B283" s="53" t="s">
        <v>147</v>
      </c>
      <c r="C283" s="295">
        <v>5.5</v>
      </c>
      <c r="D283" s="54">
        <v>5265</v>
      </c>
      <c r="E283" s="54"/>
      <c r="F283" s="54"/>
      <c r="G283" s="54"/>
      <c r="H283" s="54">
        <f t="shared" si="23"/>
        <v>789.75</v>
      </c>
      <c r="I283" s="54"/>
      <c r="J283" s="54"/>
      <c r="K283" s="54">
        <f t="shared" si="24"/>
        <v>6054.75</v>
      </c>
      <c r="L283" s="54"/>
      <c r="M283" s="54"/>
      <c r="N283" s="54">
        <f t="shared" si="25"/>
        <v>1816.425</v>
      </c>
      <c r="O283" s="54"/>
      <c r="P283" s="191"/>
      <c r="Q283" s="31">
        <f t="shared" si="26"/>
        <v>43291.4625</v>
      </c>
      <c r="R283" s="192">
        <v>10</v>
      </c>
    </row>
    <row r="284" spans="1:18" ht="76.5">
      <c r="A284" s="96">
        <v>6</v>
      </c>
      <c r="B284" s="53" t="s">
        <v>91</v>
      </c>
      <c r="C284" s="295">
        <v>5</v>
      </c>
      <c r="D284" s="54">
        <v>5265</v>
      </c>
      <c r="E284" s="54"/>
      <c r="F284" s="54"/>
      <c r="G284" s="54"/>
      <c r="H284" s="54">
        <f t="shared" si="23"/>
        <v>789.75</v>
      </c>
      <c r="I284" s="54"/>
      <c r="J284" s="54"/>
      <c r="K284" s="54">
        <f t="shared" si="24"/>
        <v>6054.75</v>
      </c>
      <c r="L284" s="54"/>
      <c r="M284" s="54"/>
      <c r="N284" s="54">
        <f t="shared" si="25"/>
        <v>1816.425</v>
      </c>
      <c r="O284" s="54"/>
      <c r="P284" s="191"/>
      <c r="Q284" s="31">
        <f t="shared" si="26"/>
        <v>39355.875</v>
      </c>
      <c r="R284" s="56">
        <v>10</v>
      </c>
    </row>
    <row r="285" spans="1:18" ht="114.75">
      <c r="A285" s="96">
        <v>7</v>
      </c>
      <c r="B285" s="53" t="s">
        <v>148</v>
      </c>
      <c r="C285" s="295">
        <v>5</v>
      </c>
      <c r="D285" s="54">
        <v>5265</v>
      </c>
      <c r="E285" s="54"/>
      <c r="F285" s="54"/>
      <c r="G285" s="54"/>
      <c r="H285" s="54">
        <f t="shared" si="23"/>
        <v>789.75</v>
      </c>
      <c r="I285" s="54"/>
      <c r="J285" s="54"/>
      <c r="K285" s="54">
        <f t="shared" si="24"/>
        <v>6054.75</v>
      </c>
      <c r="L285" s="54"/>
      <c r="M285" s="54"/>
      <c r="N285" s="54">
        <f t="shared" si="25"/>
        <v>1816.425</v>
      </c>
      <c r="O285" s="54"/>
      <c r="P285" s="225"/>
      <c r="Q285" s="31">
        <f t="shared" si="26"/>
        <v>39355.875</v>
      </c>
      <c r="R285" s="56">
        <v>10</v>
      </c>
    </row>
    <row r="286" spans="1:18" ht="68.25" customHeight="1">
      <c r="A286" s="96">
        <v>8</v>
      </c>
      <c r="B286" s="53" t="s">
        <v>93</v>
      </c>
      <c r="C286" s="295">
        <v>5</v>
      </c>
      <c r="D286" s="54">
        <v>3674</v>
      </c>
      <c r="E286" s="54"/>
      <c r="F286" s="54"/>
      <c r="G286" s="54"/>
      <c r="H286" s="54">
        <f t="shared" si="23"/>
        <v>551.1</v>
      </c>
      <c r="I286" s="54"/>
      <c r="J286" s="54"/>
      <c r="K286" s="54">
        <f t="shared" si="24"/>
        <v>4225.1</v>
      </c>
      <c r="L286" s="54"/>
      <c r="M286" s="54"/>
      <c r="N286" s="54"/>
      <c r="O286" s="54"/>
      <c r="P286" s="225">
        <f>D286*10%</f>
        <v>367.40000000000003</v>
      </c>
      <c r="Q286" s="32">
        <f t="shared" si="26"/>
        <v>22962.5</v>
      </c>
      <c r="R286" s="56">
        <v>4</v>
      </c>
    </row>
    <row r="287" spans="1:18" ht="45" customHeight="1" thickBot="1">
      <c r="A287" s="504" t="s">
        <v>18</v>
      </c>
      <c r="B287" s="505"/>
      <c r="C287" s="298">
        <f>SUM(C279:C286)</f>
        <v>26</v>
      </c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26"/>
      <c r="Q287" s="311">
        <f>SUM(Q279:Q286)</f>
        <v>210357.32645</v>
      </c>
      <c r="R287" s="217"/>
    </row>
    <row r="288" spans="1:18" ht="0.75" customHeight="1">
      <c r="A288" s="161"/>
      <c r="B288" s="214"/>
      <c r="C288" s="388"/>
      <c r="D288" s="227"/>
      <c r="E288" s="227"/>
      <c r="F288" s="227"/>
      <c r="G288" s="227"/>
      <c r="H288" s="228"/>
      <c r="I288" s="227"/>
      <c r="J288" s="227"/>
      <c r="K288" s="227"/>
      <c r="L288" s="227"/>
      <c r="M288" s="227"/>
      <c r="N288" s="227"/>
      <c r="O288" s="227"/>
      <c r="P288" s="227"/>
      <c r="Q288" s="229"/>
      <c r="R288" s="161"/>
    </row>
    <row r="289" spans="1:29" s="6" customFormat="1" ht="30.75" customHeight="1">
      <c r="A289" s="161"/>
      <c r="B289" s="157" t="s">
        <v>54</v>
      </c>
      <c r="C289" s="305">
        <f>C279+C280+C281</f>
        <v>5</v>
      </c>
      <c r="D289" s="227"/>
      <c r="E289" s="227"/>
      <c r="F289" s="227"/>
      <c r="G289" s="227"/>
      <c r="H289" s="228"/>
      <c r="I289" s="227"/>
      <c r="J289" s="227"/>
      <c r="K289" s="227"/>
      <c r="L289" s="227"/>
      <c r="M289" s="227"/>
      <c r="N289" s="227"/>
      <c r="O289" s="227"/>
      <c r="P289" s="227"/>
      <c r="Q289" s="230">
        <f>SUM(Q279:Q281)</f>
        <v>61062.467699999994</v>
      </c>
      <c r="R289" s="161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s="6" customFormat="1" ht="47.25" customHeight="1">
      <c r="A290" s="161"/>
      <c r="B290" s="157" t="s">
        <v>55</v>
      </c>
      <c r="C290" s="305">
        <f>SUM(C282:C285)</f>
        <v>16</v>
      </c>
      <c r="D290" s="227"/>
      <c r="E290" s="227"/>
      <c r="F290" s="227"/>
      <c r="G290" s="227"/>
      <c r="H290" s="228"/>
      <c r="I290" s="227"/>
      <c r="J290" s="227"/>
      <c r="K290" s="227"/>
      <c r="L290" s="227"/>
      <c r="M290" s="227"/>
      <c r="N290" s="227"/>
      <c r="O290" s="227"/>
      <c r="P290" s="227"/>
      <c r="Q290" s="230">
        <f>SUM(Q282:Q285)</f>
        <v>126332.35875</v>
      </c>
      <c r="R290" s="161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s="6" customFormat="1" ht="39" customHeight="1">
      <c r="A291" s="161"/>
      <c r="B291" s="157" t="s">
        <v>44</v>
      </c>
      <c r="C291" s="305">
        <f>C286</f>
        <v>5</v>
      </c>
      <c r="D291" s="227"/>
      <c r="E291" s="227"/>
      <c r="F291" s="227"/>
      <c r="G291" s="227"/>
      <c r="H291" s="228"/>
      <c r="I291" s="227"/>
      <c r="J291" s="227"/>
      <c r="K291" s="227"/>
      <c r="L291" s="227"/>
      <c r="M291" s="227"/>
      <c r="N291" s="227"/>
      <c r="O291" s="227"/>
      <c r="P291" s="227"/>
      <c r="Q291" s="219">
        <f>Q286</f>
        <v>22962.5</v>
      </c>
      <c r="R291" s="161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18" ht="39" customHeight="1">
      <c r="A292" s="268" t="s">
        <v>314</v>
      </c>
      <c r="B292" s="267"/>
      <c r="C292" s="392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</row>
    <row r="293" spans="1:18" ht="16.5" customHeight="1" hidden="1">
      <c r="A293" s="466"/>
      <c r="B293" s="466"/>
      <c r="C293" s="466"/>
      <c r="D293" s="466"/>
      <c r="E293" s="466"/>
      <c r="F293" s="466"/>
      <c r="G293" s="466"/>
      <c r="H293" s="466"/>
      <c r="I293" s="466"/>
      <c r="J293" s="466"/>
      <c r="K293" s="466"/>
      <c r="L293" s="466"/>
      <c r="M293" s="466"/>
      <c r="N293" s="466"/>
      <c r="O293" s="466"/>
      <c r="P293" s="466"/>
      <c r="Q293" s="466"/>
      <c r="R293" s="466"/>
    </row>
    <row r="294" spans="1:18" ht="37.5">
      <c r="A294" s="50">
        <v>1</v>
      </c>
      <c r="B294" s="51">
        <v>2</v>
      </c>
      <c r="C294" s="374">
        <v>3</v>
      </c>
      <c r="D294" s="51">
        <v>4</v>
      </c>
      <c r="E294" s="51">
        <v>5</v>
      </c>
      <c r="F294" s="51">
        <v>6</v>
      </c>
      <c r="G294" s="51">
        <v>7</v>
      </c>
      <c r="H294" s="51">
        <v>8</v>
      </c>
      <c r="I294" s="51">
        <v>9</v>
      </c>
      <c r="J294" s="51">
        <v>10</v>
      </c>
      <c r="K294" s="51">
        <v>11</v>
      </c>
      <c r="L294" s="51">
        <v>12</v>
      </c>
      <c r="M294" s="51">
        <v>13</v>
      </c>
      <c r="N294" s="51">
        <v>14</v>
      </c>
      <c r="O294" s="51">
        <v>15</v>
      </c>
      <c r="P294" s="51">
        <v>16</v>
      </c>
      <c r="Q294" s="51">
        <v>17</v>
      </c>
      <c r="R294" s="51">
        <v>18</v>
      </c>
    </row>
    <row r="295" spans="1:18" ht="83.25" customHeight="1">
      <c r="A295" s="96">
        <v>1</v>
      </c>
      <c r="B295" s="324" t="s">
        <v>232</v>
      </c>
      <c r="C295" s="295">
        <v>1</v>
      </c>
      <c r="D295" s="54">
        <v>6567</v>
      </c>
      <c r="E295" s="54">
        <f>D295*0.1</f>
        <v>656.7</v>
      </c>
      <c r="F295" s="54"/>
      <c r="G295" s="54"/>
      <c r="H295" s="54"/>
      <c r="I295" s="54"/>
      <c r="J295" s="54"/>
      <c r="K295" s="54">
        <f aca="true" t="shared" si="27" ref="K295:K306">SUM(D295:J295)</f>
        <v>7223.7</v>
      </c>
      <c r="L295" s="54"/>
      <c r="M295" s="54"/>
      <c r="N295" s="54">
        <f>K295*0.3</f>
        <v>2167.1099999999997</v>
      </c>
      <c r="O295" s="54"/>
      <c r="P295" s="191"/>
      <c r="Q295" s="31">
        <f aca="true" t="shared" si="28" ref="Q295:Q306">SUM(K295:P295)*C295</f>
        <v>9390.81</v>
      </c>
      <c r="R295" s="56">
        <v>13</v>
      </c>
    </row>
    <row r="296" spans="1:18" ht="33.75" customHeight="1">
      <c r="A296" s="96">
        <v>2</v>
      </c>
      <c r="B296" s="324" t="s">
        <v>138</v>
      </c>
      <c r="C296" s="295">
        <v>1.5</v>
      </c>
      <c r="D296" s="92">
        <v>6567</v>
      </c>
      <c r="E296" s="92"/>
      <c r="F296" s="92"/>
      <c r="G296" s="92"/>
      <c r="H296" s="92"/>
      <c r="I296" s="92"/>
      <c r="J296" s="92"/>
      <c r="K296" s="55">
        <f t="shared" si="27"/>
        <v>6567</v>
      </c>
      <c r="L296" s="92"/>
      <c r="M296" s="92"/>
      <c r="N296" s="54">
        <f>K296*0.3</f>
        <v>1970.1</v>
      </c>
      <c r="O296" s="55"/>
      <c r="P296" s="84"/>
      <c r="Q296" s="32">
        <f t="shared" si="28"/>
        <v>12805.650000000001</v>
      </c>
      <c r="R296" s="56">
        <v>13</v>
      </c>
    </row>
    <row r="297" spans="1:18" ht="33.75" customHeight="1">
      <c r="A297" s="96"/>
      <c r="B297" s="324" t="s">
        <v>315</v>
      </c>
      <c r="C297" s="295">
        <v>1</v>
      </c>
      <c r="D297" s="92">
        <v>6567</v>
      </c>
      <c r="E297" s="92"/>
      <c r="F297" s="92"/>
      <c r="G297" s="92"/>
      <c r="H297" s="92"/>
      <c r="I297" s="92"/>
      <c r="J297" s="92"/>
      <c r="K297" s="55"/>
      <c r="L297" s="92"/>
      <c r="M297" s="92"/>
      <c r="N297" s="54"/>
      <c r="O297" s="55"/>
      <c r="P297" s="84"/>
      <c r="Q297" s="32"/>
      <c r="R297" s="56">
        <v>13</v>
      </c>
    </row>
    <row r="298" spans="1:18" ht="33.75" customHeight="1">
      <c r="A298" s="96"/>
      <c r="B298" s="324" t="s">
        <v>316</v>
      </c>
      <c r="C298" s="295">
        <v>1</v>
      </c>
      <c r="D298" s="92">
        <v>5699</v>
      </c>
      <c r="E298" s="92"/>
      <c r="F298" s="92"/>
      <c r="G298" s="92"/>
      <c r="H298" s="92"/>
      <c r="I298" s="92"/>
      <c r="J298" s="92"/>
      <c r="K298" s="55"/>
      <c r="L298" s="92"/>
      <c r="M298" s="92"/>
      <c r="N298" s="54"/>
      <c r="O298" s="55"/>
      <c r="P298" s="84"/>
      <c r="Q298" s="32"/>
      <c r="R298" s="56">
        <v>11</v>
      </c>
    </row>
    <row r="299" spans="1:18" ht="33.75" customHeight="1">
      <c r="A299" s="96"/>
      <c r="B299" s="324" t="s">
        <v>317</v>
      </c>
      <c r="C299" s="295">
        <v>1</v>
      </c>
      <c r="D299" s="92">
        <v>5699</v>
      </c>
      <c r="E299" s="92"/>
      <c r="F299" s="92"/>
      <c r="G299" s="92"/>
      <c r="H299" s="92"/>
      <c r="I299" s="92"/>
      <c r="J299" s="92"/>
      <c r="K299" s="55"/>
      <c r="L299" s="92"/>
      <c r="M299" s="92"/>
      <c r="N299" s="54"/>
      <c r="O299" s="55"/>
      <c r="P299" s="84"/>
      <c r="Q299" s="32"/>
      <c r="R299" s="56">
        <v>11</v>
      </c>
    </row>
    <row r="300" spans="1:18" s="8" customFormat="1" ht="62.25" customHeight="1">
      <c r="A300" s="96">
        <v>3</v>
      </c>
      <c r="B300" s="324" t="s">
        <v>137</v>
      </c>
      <c r="C300" s="295">
        <v>2</v>
      </c>
      <c r="D300" s="92">
        <v>5005</v>
      </c>
      <c r="E300" s="92">
        <f>D300*0.1</f>
        <v>500.5</v>
      </c>
      <c r="F300" s="92"/>
      <c r="G300" s="92"/>
      <c r="H300" s="92"/>
      <c r="I300" s="92"/>
      <c r="J300" s="92"/>
      <c r="K300" s="55">
        <f t="shared" si="27"/>
        <v>5505.5</v>
      </c>
      <c r="L300" s="92"/>
      <c r="M300" s="92"/>
      <c r="N300" s="92">
        <f>K300*0.3</f>
        <v>1651.6499999999999</v>
      </c>
      <c r="O300" s="55"/>
      <c r="P300" s="84"/>
      <c r="Q300" s="32">
        <f t="shared" si="28"/>
        <v>14314.3</v>
      </c>
      <c r="R300" s="56">
        <v>9</v>
      </c>
    </row>
    <row r="301" spans="1:18" ht="52.5" customHeight="1">
      <c r="A301" s="96">
        <v>4</v>
      </c>
      <c r="B301" s="324" t="s">
        <v>319</v>
      </c>
      <c r="C301" s="295">
        <v>4</v>
      </c>
      <c r="D301" s="92">
        <v>5005</v>
      </c>
      <c r="E301" s="55"/>
      <c r="F301" s="55"/>
      <c r="G301" s="55"/>
      <c r="H301" s="55"/>
      <c r="I301" s="55"/>
      <c r="J301" s="55"/>
      <c r="K301" s="55">
        <f t="shared" si="27"/>
        <v>5005</v>
      </c>
      <c r="L301" s="55"/>
      <c r="M301" s="55"/>
      <c r="N301" s="92">
        <f>K301*0.2</f>
        <v>1001</v>
      </c>
      <c r="O301" s="55"/>
      <c r="P301" s="84"/>
      <c r="Q301" s="32">
        <f t="shared" si="28"/>
        <v>24024</v>
      </c>
      <c r="R301" s="56">
        <v>9</v>
      </c>
    </row>
    <row r="302" spans="1:18" ht="70.5" hidden="1">
      <c r="A302" s="96">
        <v>6</v>
      </c>
      <c r="B302" s="324" t="s">
        <v>126</v>
      </c>
      <c r="C302" s="295">
        <v>0</v>
      </c>
      <c r="D302" s="92">
        <v>2555</v>
      </c>
      <c r="E302" s="55"/>
      <c r="F302" s="55"/>
      <c r="G302" s="55"/>
      <c r="H302" s="55"/>
      <c r="I302" s="55"/>
      <c r="J302" s="55"/>
      <c r="K302" s="55">
        <f t="shared" si="27"/>
        <v>2555</v>
      </c>
      <c r="L302" s="55"/>
      <c r="M302" s="55"/>
      <c r="N302" s="92">
        <f>K302*0.3</f>
        <v>766.5</v>
      </c>
      <c r="O302" s="55"/>
      <c r="P302" s="84"/>
      <c r="Q302" s="32">
        <f t="shared" si="28"/>
        <v>0</v>
      </c>
      <c r="R302" s="56">
        <v>6</v>
      </c>
    </row>
    <row r="303" spans="1:18" ht="62.25" customHeight="1">
      <c r="A303" s="96">
        <v>5</v>
      </c>
      <c r="B303" s="324" t="s">
        <v>248</v>
      </c>
      <c r="C303" s="295">
        <v>18</v>
      </c>
      <c r="D303" s="92">
        <v>5005</v>
      </c>
      <c r="E303" s="55"/>
      <c r="F303" s="55"/>
      <c r="G303" s="55"/>
      <c r="H303" s="67"/>
      <c r="I303" s="55"/>
      <c r="J303" s="55"/>
      <c r="K303" s="55">
        <f t="shared" si="27"/>
        <v>5005</v>
      </c>
      <c r="L303" s="55"/>
      <c r="M303" s="55"/>
      <c r="N303" s="92">
        <f>K303*0.3</f>
        <v>1501.5</v>
      </c>
      <c r="O303" s="55"/>
      <c r="P303" s="84"/>
      <c r="Q303" s="32">
        <f t="shared" si="28"/>
        <v>117117</v>
      </c>
      <c r="R303" s="56">
        <v>9</v>
      </c>
    </row>
    <row r="304" spans="1:18" ht="64.5" customHeight="1">
      <c r="A304" s="96">
        <v>7</v>
      </c>
      <c r="B304" s="324" t="s">
        <v>94</v>
      </c>
      <c r="C304" s="295">
        <v>18</v>
      </c>
      <c r="D304" s="55">
        <v>3674</v>
      </c>
      <c r="E304" s="55"/>
      <c r="F304" s="55"/>
      <c r="G304" s="55"/>
      <c r="H304" s="55"/>
      <c r="I304" s="55"/>
      <c r="J304" s="55"/>
      <c r="K304" s="55">
        <f t="shared" si="27"/>
        <v>3674</v>
      </c>
      <c r="L304" s="55"/>
      <c r="M304" s="55"/>
      <c r="N304" s="55"/>
      <c r="O304" s="55"/>
      <c r="P304" s="84">
        <f>K304*10%</f>
        <v>367.40000000000003</v>
      </c>
      <c r="Q304" s="32">
        <f t="shared" si="28"/>
        <v>72745.2</v>
      </c>
      <c r="R304" s="56">
        <v>4</v>
      </c>
    </row>
    <row r="305" spans="1:18" ht="37.5" customHeight="1">
      <c r="A305" s="96">
        <v>8</v>
      </c>
      <c r="B305" s="324" t="s">
        <v>37</v>
      </c>
      <c r="C305" s="295">
        <v>2</v>
      </c>
      <c r="D305" s="55">
        <v>3674</v>
      </c>
      <c r="E305" s="55"/>
      <c r="F305" s="55"/>
      <c r="G305" s="55"/>
      <c r="H305" s="55"/>
      <c r="I305" s="55"/>
      <c r="J305" s="55"/>
      <c r="K305" s="55">
        <f t="shared" si="27"/>
        <v>3674</v>
      </c>
      <c r="L305" s="55"/>
      <c r="M305" s="55"/>
      <c r="N305" s="55"/>
      <c r="O305" s="55"/>
      <c r="P305" s="84"/>
      <c r="Q305" s="32">
        <f t="shared" si="28"/>
        <v>7348</v>
      </c>
      <c r="R305" s="56">
        <v>4</v>
      </c>
    </row>
    <row r="306" spans="1:18" ht="62.25" customHeight="1">
      <c r="A306" s="96">
        <v>9</v>
      </c>
      <c r="B306" s="324" t="s">
        <v>78</v>
      </c>
      <c r="C306" s="295">
        <v>2</v>
      </c>
      <c r="D306" s="55">
        <v>3414</v>
      </c>
      <c r="E306" s="55"/>
      <c r="F306" s="55"/>
      <c r="G306" s="55"/>
      <c r="H306" s="55"/>
      <c r="I306" s="55"/>
      <c r="J306" s="55"/>
      <c r="K306" s="55">
        <f t="shared" si="27"/>
        <v>3414</v>
      </c>
      <c r="L306" s="55"/>
      <c r="M306" s="55"/>
      <c r="N306" s="55"/>
      <c r="O306" s="55"/>
      <c r="P306" s="84"/>
      <c r="Q306" s="32">
        <f t="shared" si="28"/>
        <v>6828</v>
      </c>
      <c r="R306" s="56">
        <v>3</v>
      </c>
    </row>
    <row r="307" spans="1:18" ht="35.25" customHeight="1" hidden="1">
      <c r="A307" s="440"/>
      <c r="B307" s="506"/>
      <c r="C307" s="506"/>
      <c r="D307" s="506"/>
      <c r="E307" s="506"/>
      <c r="F307" s="506"/>
      <c r="G307" s="506"/>
      <c r="H307" s="506"/>
      <c r="I307" s="506"/>
      <c r="J307" s="506"/>
      <c r="K307" s="506"/>
      <c r="L307" s="506"/>
      <c r="M307" s="506"/>
      <c r="N307" s="506"/>
      <c r="O307" s="506"/>
      <c r="P307" s="506"/>
      <c r="Q307" s="506"/>
      <c r="R307" s="441"/>
    </row>
    <row r="308" spans="1:18" ht="45" customHeight="1" thickBot="1">
      <c r="A308" s="504" t="s">
        <v>18</v>
      </c>
      <c r="B308" s="505"/>
      <c r="C308" s="308">
        <f>SUM(C295:C307)</f>
        <v>51.5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2">
        <f>SUM(Q295:Q307)</f>
        <v>264572.96</v>
      </c>
      <c r="R308" s="217"/>
    </row>
    <row r="309" spans="1:18" ht="45.75" customHeight="1" hidden="1">
      <c r="A309" s="161"/>
      <c r="B309" s="214"/>
      <c r="C309" s="38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233"/>
      <c r="R309" s="161"/>
    </row>
    <row r="310" spans="1:18" ht="41.25" customHeight="1">
      <c r="A310" s="161"/>
      <c r="B310" s="157" t="s">
        <v>54</v>
      </c>
      <c r="C310" s="305">
        <f>SUM(C295+C296)+C297+C298+C299</f>
        <v>5.5</v>
      </c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234">
        <f>SUM(Q295+Q296)</f>
        <v>22196.46</v>
      </c>
      <c r="R310" s="161"/>
    </row>
    <row r="311" spans="1:18" ht="47.25" customHeight="1">
      <c r="A311" s="161"/>
      <c r="B311" s="157" t="s">
        <v>55</v>
      </c>
      <c r="C311" s="305">
        <f>C300+C301+C302+C303</f>
        <v>24</v>
      </c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234">
        <f>Q300+Q301+Q302+Q303</f>
        <v>155455.3</v>
      </c>
      <c r="R311" s="161"/>
    </row>
    <row r="312" spans="1:18" ht="42" customHeight="1">
      <c r="A312" s="161"/>
      <c r="B312" s="157" t="s">
        <v>44</v>
      </c>
      <c r="C312" s="305">
        <f>SUM(C304+C306)</f>
        <v>20</v>
      </c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234">
        <f>SUM(Q304+Q306)</f>
        <v>79573.2</v>
      </c>
      <c r="R312" s="161"/>
    </row>
    <row r="313" spans="1:18" ht="45.75" customHeight="1">
      <c r="A313" s="161"/>
      <c r="B313" s="157" t="s">
        <v>53</v>
      </c>
      <c r="C313" s="305">
        <f>C305</f>
        <v>2</v>
      </c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234">
        <f>Q305</f>
        <v>7348</v>
      </c>
      <c r="R313" s="161"/>
    </row>
    <row r="314" spans="1:18" ht="53.25" customHeight="1">
      <c r="A314" s="507" t="s">
        <v>302</v>
      </c>
      <c r="B314" s="507"/>
      <c r="C314" s="507"/>
      <c r="D314" s="507"/>
      <c r="E314" s="507"/>
      <c r="F314" s="507"/>
      <c r="G314" s="507"/>
      <c r="H314" s="507"/>
      <c r="I314" s="507"/>
      <c r="J314" s="507"/>
      <c r="K314" s="507"/>
      <c r="L314" s="507"/>
      <c r="M314" s="507"/>
      <c r="N314" s="507"/>
      <c r="O314" s="507"/>
      <c r="P314" s="507"/>
      <c r="Q314" s="507"/>
      <c r="R314" s="507"/>
    </row>
    <row r="315" spans="1:18" ht="39.75" customHeight="1" hidden="1">
      <c r="A315" s="269"/>
      <c r="B315" s="269"/>
      <c r="C315" s="393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</row>
    <row r="316" spans="1:18" ht="38.25" hidden="1">
      <c r="A316" s="147"/>
      <c r="B316" s="49"/>
      <c r="C316" s="375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37.5">
      <c r="A317" s="50">
        <v>1</v>
      </c>
      <c r="B317" s="51">
        <v>2</v>
      </c>
      <c r="C317" s="374">
        <v>3</v>
      </c>
      <c r="D317" s="51">
        <v>4</v>
      </c>
      <c r="E317" s="51">
        <v>5</v>
      </c>
      <c r="F317" s="51">
        <v>6</v>
      </c>
      <c r="G317" s="51">
        <v>7</v>
      </c>
      <c r="H317" s="51">
        <v>8</v>
      </c>
      <c r="I317" s="51">
        <v>9</v>
      </c>
      <c r="J317" s="51">
        <v>10</v>
      </c>
      <c r="K317" s="51">
        <v>11</v>
      </c>
      <c r="L317" s="51">
        <v>12</v>
      </c>
      <c r="M317" s="51">
        <v>13</v>
      </c>
      <c r="N317" s="51">
        <v>14</v>
      </c>
      <c r="O317" s="51">
        <v>15</v>
      </c>
      <c r="P317" s="51">
        <v>16</v>
      </c>
      <c r="Q317" s="51">
        <v>17</v>
      </c>
      <c r="R317" s="51">
        <v>18</v>
      </c>
    </row>
    <row r="318" spans="1:18" ht="114.75">
      <c r="A318" s="96">
        <v>1</v>
      </c>
      <c r="B318" s="53" t="s">
        <v>172</v>
      </c>
      <c r="C318" s="295">
        <v>1</v>
      </c>
      <c r="D318" s="54">
        <v>6567</v>
      </c>
      <c r="E318" s="55">
        <f>D318*0.2</f>
        <v>1313.4</v>
      </c>
      <c r="F318" s="55">
        <f>(D318+E318)*0.3</f>
        <v>2364.12</v>
      </c>
      <c r="G318" s="55"/>
      <c r="H318" s="55"/>
      <c r="I318" s="55"/>
      <c r="J318" s="55"/>
      <c r="K318" s="55">
        <f aca="true" t="shared" si="29" ref="K318:K331">SUM(D318:J318)</f>
        <v>10244.52</v>
      </c>
      <c r="L318" s="55"/>
      <c r="M318" s="55"/>
      <c r="N318" s="92">
        <f aca="true" t="shared" si="30" ref="N318:N328">K318*0.3</f>
        <v>3073.356</v>
      </c>
      <c r="O318" s="55"/>
      <c r="P318" s="55"/>
      <c r="Q318" s="32">
        <f aca="true" t="shared" si="31" ref="Q318:Q331">SUM(K318:P318)*C318</f>
        <v>13317.876</v>
      </c>
      <c r="R318" s="56">
        <v>13</v>
      </c>
    </row>
    <row r="319" spans="1:18" ht="76.5">
      <c r="A319" s="96">
        <v>2</v>
      </c>
      <c r="B319" s="53" t="s">
        <v>272</v>
      </c>
      <c r="C319" s="295">
        <v>0.75</v>
      </c>
      <c r="D319" s="54">
        <v>5699</v>
      </c>
      <c r="E319" s="55"/>
      <c r="F319" s="55">
        <f aca="true" t="shared" si="32" ref="F319:F324">(D319+E319)*0.2</f>
        <v>1139.8</v>
      </c>
      <c r="G319" s="55"/>
      <c r="H319" s="55"/>
      <c r="I319" s="55"/>
      <c r="J319" s="55"/>
      <c r="K319" s="55">
        <f t="shared" si="29"/>
        <v>6838.8</v>
      </c>
      <c r="L319" s="55"/>
      <c r="M319" s="55"/>
      <c r="N319" s="92">
        <f t="shared" si="30"/>
        <v>2051.64</v>
      </c>
      <c r="O319" s="55"/>
      <c r="P319" s="55"/>
      <c r="Q319" s="32">
        <f t="shared" si="31"/>
        <v>6667.83</v>
      </c>
      <c r="R319" s="56">
        <v>11</v>
      </c>
    </row>
    <row r="320" spans="1:18" ht="38.25">
      <c r="A320" s="96">
        <v>3</v>
      </c>
      <c r="B320" s="53" t="s">
        <v>310</v>
      </c>
      <c r="C320" s="295">
        <v>0.25</v>
      </c>
      <c r="D320" s="54">
        <v>5699</v>
      </c>
      <c r="E320" s="55"/>
      <c r="F320" s="55">
        <f t="shared" si="32"/>
        <v>1139.8</v>
      </c>
      <c r="G320" s="55"/>
      <c r="H320" s="55"/>
      <c r="I320" s="55"/>
      <c r="J320" s="55"/>
      <c r="K320" s="55">
        <f t="shared" si="29"/>
        <v>6838.8</v>
      </c>
      <c r="L320" s="55"/>
      <c r="M320" s="55"/>
      <c r="N320" s="92">
        <f>K320*0.1</f>
        <v>683.8800000000001</v>
      </c>
      <c r="O320" s="55"/>
      <c r="P320" s="55"/>
      <c r="Q320" s="32">
        <f t="shared" si="31"/>
        <v>1880.67</v>
      </c>
      <c r="R320" s="56">
        <v>11</v>
      </c>
    </row>
    <row r="321" spans="1:18" ht="38.25">
      <c r="A321" s="96">
        <v>4</v>
      </c>
      <c r="B321" s="53" t="s">
        <v>208</v>
      </c>
      <c r="C321" s="295">
        <v>1</v>
      </c>
      <c r="D321" s="54">
        <v>7001</v>
      </c>
      <c r="E321" s="55"/>
      <c r="F321" s="55">
        <f t="shared" si="32"/>
        <v>1400.2</v>
      </c>
      <c r="G321" s="55"/>
      <c r="H321" s="55"/>
      <c r="I321" s="55"/>
      <c r="J321" s="55"/>
      <c r="K321" s="55">
        <f t="shared" si="29"/>
        <v>8401.2</v>
      </c>
      <c r="L321" s="55"/>
      <c r="M321" s="55"/>
      <c r="N321" s="92">
        <f>K321*0.3</f>
        <v>2520.36</v>
      </c>
      <c r="O321" s="55"/>
      <c r="P321" s="55"/>
      <c r="Q321" s="32">
        <f>SUM(K321:P321)*C321</f>
        <v>10921.560000000001</v>
      </c>
      <c r="R321" s="56">
        <v>14</v>
      </c>
    </row>
    <row r="322" spans="1:18" ht="60" customHeight="1">
      <c r="A322" s="96">
        <v>5</v>
      </c>
      <c r="B322" s="53" t="s">
        <v>140</v>
      </c>
      <c r="C322" s="295">
        <v>1.75</v>
      </c>
      <c r="D322" s="54">
        <v>6567</v>
      </c>
      <c r="E322" s="55"/>
      <c r="F322" s="55">
        <f t="shared" si="32"/>
        <v>1313.4</v>
      </c>
      <c r="G322" s="55"/>
      <c r="H322" s="55"/>
      <c r="I322" s="55"/>
      <c r="J322" s="55"/>
      <c r="K322" s="55">
        <f t="shared" si="29"/>
        <v>7880.4</v>
      </c>
      <c r="L322" s="55"/>
      <c r="M322" s="55"/>
      <c r="N322" s="92">
        <f>K322*0.3</f>
        <v>2364.12</v>
      </c>
      <c r="O322" s="55"/>
      <c r="P322" s="55"/>
      <c r="Q322" s="32">
        <f t="shared" si="31"/>
        <v>17927.91</v>
      </c>
      <c r="R322" s="56">
        <v>13</v>
      </c>
    </row>
    <row r="323" spans="1:18" ht="76.5">
      <c r="A323" s="96"/>
      <c r="B323" s="53" t="s">
        <v>309</v>
      </c>
      <c r="C323" s="295">
        <v>3.25</v>
      </c>
      <c r="D323" s="54">
        <v>6567</v>
      </c>
      <c r="E323" s="55"/>
      <c r="F323" s="55">
        <f t="shared" si="32"/>
        <v>1313.4</v>
      </c>
      <c r="G323" s="55"/>
      <c r="H323" s="55"/>
      <c r="I323" s="55"/>
      <c r="J323" s="55"/>
      <c r="K323" s="55">
        <f t="shared" si="29"/>
        <v>7880.4</v>
      </c>
      <c r="L323" s="55"/>
      <c r="M323" s="55"/>
      <c r="N323" s="92">
        <f>K323*0.3</f>
        <v>2364.12</v>
      </c>
      <c r="O323" s="55"/>
      <c r="P323" s="55"/>
      <c r="Q323" s="32">
        <f t="shared" si="31"/>
        <v>33294.69</v>
      </c>
      <c r="R323" s="56">
        <v>13</v>
      </c>
    </row>
    <row r="324" spans="1:18" ht="60" customHeight="1">
      <c r="A324" s="96">
        <v>6</v>
      </c>
      <c r="B324" s="53" t="s">
        <v>273</v>
      </c>
      <c r="C324" s="295">
        <v>1</v>
      </c>
      <c r="D324" s="54">
        <v>5699</v>
      </c>
      <c r="E324" s="55"/>
      <c r="F324" s="55">
        <f t="shared" si="32"/>
        <v>1139.8</v>
      </c>
      <c r="G324" s="55"/>
      <c r="H324" s="55"/>
      <c r="I324" s="55"/>
      <c r="J324" s="55"/>
      <c r="K324" s="55">
        <f t="shared" si="29"/>
        <v>6838.8</v>
      </c>
      <c r="L324" s="55"/>
      <c r="M324" s="55"/>
      <c r="N324" s="92">
        <f>K324*0.1</f>
        <v>683.8800000000001</v>
      </c>
      <c r="O324" s="55"/>
      <c r="P324" s="55"/>
      <c r="Q324" s="32">
        <f t="shared" si="31"/>
        <v>7522.68</v>
      </c>
      <c r="R324" s="56">
        <v>11</v>
      </c>
    </row>
    <row r="325" spans="1:18" ht="76.5">
      <c r="A325" s="96">
        <v>7</v>
      </c>
      <c r="B325" s="53" t="s">
        <v>266</v>
      </c>
      <c r="C325" s="295">
        <v>1</v>
      </c>
      <c r="D325" s="55">
        <v>4195</v>
      </c>
      <c r="E325" s="55">
        <f>D325*0.1</f>
        <v>419.5</v>
      </c>
      <c r="F325" s="55"/>
      <c r="G325" s="55"/>
      <c r="H325" s="55"/>
      <c r="I325" s="55"/>
      <c r="J325" s="55"/>
      <c r="K325" s="55">
        <f t="shared" si="29"/>
        <v>4614.5</v>
      </c>
      <c r="L325" s="55"/>
      <c r="M325" s="55"/>
      <c r="N325" s="92">
        <f t="shared" si="30"/>
        <v>1384.35</v>
      </c>
      <c r="O325" s="55"/>
      <c r="P325" s="55"/>
      <c r="Q325" s="32">
        <f t="shared" si="31"/>
        <v>5998.85</v>
      </c>
      <c r="R325" s="56">
        <v>6</v>
      </c>
    </row>
    <row r="326" spans="1:18" ht="75.75" customHeight="1">
      <c r="A326" s="96">
        <v>8</v>
      </c>
      <c r="B326" s="53" t="s">
        <v>267</v>
      </c>
      <c r="C326" s="295">
        <v>0.5</v>
      </c>
      <c r="D326" s="55">
        <v>4195</v>
      </c>
      <c r="E326" s="55"/>
      <c r="F326" s="55"/>
      <c r="G326" s="55"/>
      <c r="H326" s="55"/>
      <c r="I326" s="55"/>
      <c r="J326" s="55"/>
      <c r="K326" s="55">
        <f t="shared" si="29"/>
        <v>4195</v>
      </c>
      <c r="L326" s="55"/>
      <c r="M326" s="55"/>
      <c r="N326" s="92">
        <f t="shared" si="30"/>
        <v>1258.5</v>
      </c>
      <c r="O326" s="55"/>
      <c r="P326" s="55"/>
      <c r="Q326" s="32">
        <f t="shared" si="31"/>
        <v>2726.75</v>
      </c>
      <c r="R326" s="56">
        <v>6</v>
      </c>
    </row>
    <row r="327" spans="1:18" ht="75.75" customHeight="1">
      <c r="A327" s="96">
        <v>9</v>
      </c>
      <c r="B327" s="53" t="s">
        <v>297</v>
      </c>
      <c r="C327" s="295">
        <v>0.5</v>
      </c>
      <c r="D327" s="55">
        <v>4455</v>
      </c>
      <c r="E327" s="55"/>
      <c r="F327" s="55"/>
      <c r="G327" s="55"/>
      <c r="H327" s="55"/>
      <c r="I327" s="55"/>
      <c r="J327" s="55"/>
      <c r="K327" s="55">
        <f t="shared" si="29"/>
        <v>4455</v>
      </c>
      <c r="L327" s="55"/>
      <c r="M327" s="55"/>
      <c r="N327" s="92">
        <f t="shared" si="30"/>
        <v>1336.5</v>
      </c>
      <c r="O327" s="55"/>
      <c r="P327" s="55"/>
      <c r="Q327" s="32">
        <f t="shared" si="31"/>
        <v>2895.75</v>
      </c>
      <c r="R327" s="56">
        <v>7</v>
      </c>
    </row>
    <row r="328" spans="1:18" ht="76.5">
      <c r="A328" s="96">
        <v>10</v>
      </c>
      <c r="B328" s="53" t="s">
        <v>91</v>
      </c>
      <c r="C328" s="295">
        <v>4.5</v>
      </c>
      <c r="D328" s="55">
        <v>5005</v>
      </c>
      <c r="E328" s="55"/>
      <c r="F328" s="55"/>
      <c r="G328" s="55"/>
      <c r="H328" s="55"/>
      <c r="I328" s="55"/>
      <c r="J328" s="55"/>
      <c r="K328" s="55">
        <f t="shared" si="29"/>
        <v>5005</v>
      </c>
      <c r="L328" s="55"/>
      <c r="M328" s="55"/>
      <c r="N328" s="92">
        <f t="shared" si="30"/>
        <v>1501.5</v>
      </c>
      <c r="O328" s="55"/>
      <c r="P328" s="55"/>
      <c r="Q328" s="32">
        <f t="shared" si="31"/>
        <v>29279.25</v>
      </c>
      <c r="R328" s="56">
        <v>9</v>
      </c>
    </row>
    <row r="329" spans="1:18" ht="76.5">
      <c r="A329" s="96">
        <v>11</v>
      </c>
      <c r="B329" s="53" t="s">
        <v>299</v>
      </c>
      <c r="C329" s="295">
        <v>1</v>
      </c>
      <c r="D329" s="55">
        <v>3674</v>
      </c>
      <c r="E329" s="55"/>
      <c r="F329" s="55"/>
      <c r="G329" s="55"/>
      <c r="H329" s="55"/>
      <c r="I329" s="55"/>
      <c r="J329" s="55"/>
      <c r="K329" s="55">
        <f t="shared" si="29"/>
        <v>3674</v>
      </c>
      <c r="L329" s="55"/>
      <c r="M329" s="55"/>
      <c r="N329" s="92"/>
      <c r="O329" s="55"/>
      <c r="P329" s="55">
        <f>K329*10%</f>
        <v>367.40000000000003</v>
      </c>
      <c r="Q329" s="32">
        <f t="shared" si="31"/>
        <v>4041.4</v>
      </c>
      <c r="R329" s="56">
        <v>4</v>
      </c>
    </row>
    <row r="330" spans="1:18" ht="76.5">
      <c r="A330" s="96">
        <v>12</v>
      </c>
      <c r="B330" s="53" t="s">
        <v>92</v>
      </c>
      <c r="C330" s="295">
        <v>4.5</v>
      </c>
      <c r="D330" s="55">
        <v>3674</v>
      </c>
      <c r="E330" s="55"/>
      <c r="F330" s="55"/>
      <c r="G330" s="55"/>
      <c r="H330" s="55"/>
      <c r="I330" s="55"/>
      <c r="J330" s="55"/>
      <c r="K330" s="55">
        <f t="shared" si="29"/>
        <v>3674</v>
      </c>
      <c r="L330" s="55"/>
      <c r="M330" s="55"/>
      <c r="N330" s="55"/>
      <c r="O330" s="55"/>
      <c r="P330" s="55">
        <f>K330*10%</f>
        <v>367.40000000000003</v>
      </c>
      <c r="Q330" s="32">
        <f t="shared" si="31"/>
        <v>18186.3</v>
      </c>
      <c r="R330" s="56">
        <v>4</v>
      </c>
    </row>
    <row r="331" spans="1:18" ht="52.5" customHeight="1">
      <c r="A331" s="96">
        <v>13</v>
      </c>
      <c r="B331" s="53" t="s">
        <v>37</v>
      </c>
      <c r="C331" s="295">
        <v>0.5</v>
      </c>
      <c r="D331" s="55">
        <v>3674</v>
      </c>
      <c r="E331" s="55"/>
      <c r="F331" s="55"/>
      <c r="G331" s="55"/>
      <c r="H331" s="55"/>
      <c r="I331" s="55"/>
      <c r="J331" s="55"/>
      <c r="K331" s="55">
        <f t="shared" si="29"/>
        <v>3674</v>
      </c>
      <c r="L331" s="55"/>
      <c r="M331" s="55"/>
      <c r="N331" s="55"/>
      <c r="O331" s="55"/>
      <c r="P331" s="55"/>
      <c r="Q331" s="32">
        <f t="shared" si="31"/>
        <v>1837</v>
      </c>
      <c r="R331" s="56">
        <v>4</v>
      </c>
    </row>
    <row r="332" spans="1:18" ht="76.5">
      <c r="A332" s="96">
        <v>14</v>
      </c>
      <c r="B332" s="53" t="s">
        <v>77</v>
      </c>
      <c r="C332" s="295">
        <v>0.5</v>
      </c>
      <c r="D332" s="55">
        <v>3414</v>
      </c>
      <c r="E332" s="55"/>
      <c r="F332" s="55"/>
      <c r="G332" s="55"/>
      <c r="H332" s="55"/>
      <c r="I332" s="55"/>
      <c r="J332" s="55"/>
      <c r="K332" s="55">
        <f>SUM(D332:J332)</f>
        <v>3414</v>
      </c>
      <c r="L332" s="55"/>
      <c r="M332" s="55"/>
      <c r="N332" s="55"/>
      <c r="O332" s="55"/>
      <c r="P332" s="55"/>
      <c r="Q332" s="32">
        <f>SUM(K332:P332)*C332</f>
        <v>1707</v>
      </c>
      <c r="R332" s="56">
        <v>3</v>
      </c>
    </row>
    <row r="333" spans="1:18" ht="45.75" customHeight="1" thickBot="1">
      <c r="A333" s="498" t="s">
        <v>18</v>
      </c>
      <c r="B333" s="499"/>
      <c r="C333" s="308">
        <f>C318+C319+C320+C322+C324+C321+C325+C328+C330+C331+C332+C326+C327+C329</f>
        <v>18.75</v>
      </c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235">
        <f>Q332+Q331+Q330+Q328+Q326+Q325+Q324+Q322+Q321+Q320+Q319+Q318+Q327+Q329</f>
        <v>124910.826</v>
      </c>
      <c r="R333" s="236"/>
    </row>
    <row r="334" spans="1:18" ht="27" customHeight="1">
      <c r="A334" s="198"/>
      <c r="B334" s="45"/>
      <c r="C334" s="394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237"/>
      <c r="R334" s="198"/>
    </row>
    <row r="335" spans="1:18" ht="35.25" customHeight="1">
      <c r="A335" s="198"/>
      <c r="B335" s="197" t="s">
        <v>54</v>
      </c>
      <c r="C335" s="300">
        <f>SUM(C318:C322)+C324+C323</f>
        <v>9</v>
      </c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328">
        <f>SUM(Q318:Q322)+Q324</f>
        <v>58238.526000000005</v>
      </c>
      <c r="R335" s="198"/>
    </row>
    <row r="336" spans="1:18" ht="37.5" customHeight="1">
      <c r="A336" s="198"/>
      <c r="B336" s="197" t="s">
        <v>55</v>
      </c>
      <c r="C336" s="300">
        <f>SUM(C325:C328)</f>
        <v>6.5</v>
      </c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328">
        <f>SUM(Q325:Q328)</f>
        <v>40900.6</v>
      </c>
      <c r="R336" s="198"/>
    </row>
    <row r="337" spans="1:18" ht="35.25" customHeight="1">
      <c r="A337" s="198"/>
      <c r="B337" s="197" t="s">
        <v>44</v>
      </c>
      <c r="C337" s="300">
        <f>C330+C332+C329</f>
        <v>6</v>
      </c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238">
        <f>Q330+Q332+Q329</f>
        <v>23934.7</v>
      </c>
      <c r="R337" s="198"/>
    </row>
    <row r="338" spans="1:18" ht="35.25" customHeight="1">
      <c r="A338" s="93"/>
      <c r="B338" s="86" t="s">
        <v>53</v>
      </c>
      <c r="C338" s="310">
        <f>C331</f>
        <v>0.5</v>
      </c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245">
        <f>Q331</f>
        <v>1837</v>
      </c>
      <c r="R338" s="94"/>
    </row>
    <row r="339" spans="1:18" ht="1.5" customHeight="1">
      <c r="A339" s="93"/>
      <c r="B339" s="94"/>
      <c r="C339" s="376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1:18" ht="39" customHeight="1">
      <c r="A340" s="94"/>
      <c r="B340" s="94"/>
      <c r="C340" s="376"/>
      <c r="D340" s="94"/>
      <c r="E340" s="94"/>
      <c r="F340" s="269" t="s">
        <v>83</v>
      </c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1:18" ht="6" customHeight="1" hidden="1">
      <c r="A341" s="98"/>
      <c r="B341" s="94"/>
      <c r="C341" s="376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1:18" ht="37.5">
      <c r="A342" s="113">
        <v>1</v>
      </c>
      <c r="B342" s="200">
        <v>2</v>
      </c>
      <c r="C342" s="395">
        <v>3</v>
      </c>
      <c r="D342" s="200">
        <v>4</v>
      </c>
      <c r="E342" s="200">
        <v>5</v>
      </c>
      <c r="F342" s="200">
        <v>6</v>
      </c>
      <c r="G342" s="200">
        <v>7</v>
      </c>
      <c r="H342" s="200">
        <v>8</v>
      </c>
      <c r="I342" s="200">
        <v>9</v>
      </c>
      <c r="J342" s="200">
        <v>10</v>
      </c>
      <c r="K342" s="200">
        <v>11</v>
      </c>
      <c r="L342" s="200">
        <v>12</v>
      </c>
      <c r="M342" s="200">
        <v>13</v>
      </c>
      <c r="N342" s="200">
        <v>14</v>
      </c>
      <c r="O342" s="200">
        <v>15</v>
      </c>
      <c r="P342" s="200">
        <v>16</v>
      </c>
      <c r="Q342" s="200">
        <v>17</v>
      </c>
      <c r="R342" s="200">
        <v>18</v>
      </c>
    </row>
    <row r="343" spans="1:18" ht="82.5" customHeight="1">
      <c r="A343" s="145">
        <v>1</v>
      </c>
      <c r="B343" s="239" t="s">
        <v>313</v>
      </c>
      <c r="C343" s="307">
        <v>1</v>
      </c>
      <c r="D343" s="73">
        <v>6567</v>
      </c>
      <c r="E343" s="73"/>
      <c r="F343" s="73"/>
      <c r="G343" s="73"/>
      <c r="H343" s="73"/>
      <c r="I343" s="73"/>
      <c r="J343" s="73"/>
      <c r="K343" s="69">
        <f>SUM(D343:J343)</f>
        <v>6567</v>
      </c>
      <c r="L343" s="73"/>
      <c r="M343" s="73"/>
      <c r="N343" s="73">
        <f>K343*0.2</f>
        <v>1313.4</v>
      </c>
      <c r="O343" s="73"/>
      <c r="P343" s="73"/>
      <c r="Q343" s="206">
        <f>SUM(K343:P343)*C343</f>
        <v>7880.4</v>
      </c>
      <c r="R343" s="33">
        <v>13</v>
      </c>
    </row>
    <row r="344" spans="1:18" ht="82.5" customHeight="1">
      <c r="A344" s="145">
        <v>2</v>
      </c>
      <c r="B344" s="351" t="s">
        <v>280</v>
      </c>
      <c r="C344" s="303">
        <v>0.5</v>
      </c>
      <c r="D344" s="241">
        <v>3414</v>
      </c>
      <c r="E344" s="242"/>
      <c r="F344" s="69"/>
      <c r="G344" s="69"/>
      <c r="H344" s="69"/>
      <c r="I344" s="69"/>
      <c r="J344" s="69"/>
      <c r="K344" s="69">
        <f>SUM(D344:J344)</f>
        <v>3414</v>
      </c>
      <c r="L344" s="69"/>
      <c r="M344" s="69"/>
      <c r="N344" s="69"/>
      <c r="O344" s="69"/>
      <c r="P344" s="69"/>
      <c r="Q344" s="206">
        <f>SUM(K344:P344)*C344</f>
        <v>1707</v>
      </c>
      <c r="R344" s="74">
        <v>3</v>
      </c>
    </row>
    <row r="345" spans="1:18" ht="38.25">
      <c r="A345" s="125">
        <v>3</v>
      </c>
      <c r="B345" s="240" t="s">
        <v>90</v>
      </c>
      <c r="C345" s="303">
        <v>0.5</v>
      </c>
      <c r="D345" s="241">
        <v>3414</v>
      </c>
      <c r="E345" s="242"/>
      <c r="F345" s="69"/>
      <c r="G345" s="69"/>
      <c r="H345" s="69"/>
      <c r="I345" s="69"/>
      <c r="J345" s="69"/>
      <c r="K345" s="69">
        <f>SUM(D345:J345)</f>
        <v>3414</v>
      </c>
      <c r="L345" s="69"/>
      <c r="M345" s="69"/>
      <c r="N345" s="69"/>
      <c r="O345" s="69"/>
      <c r="P345" s="69">
        <f>K345*10%</f>
        <v>341.40000000000003</v>
      </c>
      <c r="Q345" s="73">
        <f>SUM(K345:P345)*C345</f>
        <v>1877.7</v>
      </c>
      <c r="R345" s="74">
        <v>3</v>
      </c>
    </row>
    <row r="346" spans="1:18" ht="45.75" customHeight="1">
      <c r="A346" s="440" t="s">
        <v>18</v>
      </c>
      <c r="B346" s="441"/>
      <c r="C346" s="296">
        <f>SUM(C343:C345)</f>
        <v>2</v>
      </c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174">
        <f>SUM(Q343:Q345)</f>
        <v>11465.1</v>
      </c>
      <c r="R346" s="74"/>
    </row>
    <row r="347" spans="1:18" ht="29.25" customHeight="1">
      <c r="A347" s="94"/>
      <c r="B347" s="86" t="s">
        <v>46</v>
      </c>
      <c r="C347" s="332">
        <v>1</v>
      </c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  <c r="P347" s="137"/>
      <c r="Q347" s="244">
        <f>SUM(Q343:Q343)</f>
        <v>7880.4</v>
      </c>
      <c r="R347" s="94"/>
    </row>
    <row r="348" spans="1:18" ht="36.75" customHeight="1">
      <c r="A348" s="94"/>
      <c r="B348" s="86" t="s">
        <v>44</v>
      </c>
      <c r="C348" s="310">
        <f>0.5</f>
        <v>0.5</v>
      </c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  <c r="N348" s="243"/>
      <c r="O348" s="243"/>
      <c r="P348" s="137"/>
      <c r="Q348" s="245">
        <f>SUM(Q345)</f>
        <v>1877.7</v>
      </c>
      <c r="R348" s="94"/>
    </row>
    <row r="349" spans="1:18" ht="22.5" customHeight="1" hidden="1">
      <c r="A349" s="161"/>
      <c r="B349" s="86" t="s">
        <v>44</v>
      </c>
      <c r="C349" s="310">
        <f>0.5</f>
        <v>0.5</v>
      </c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245">
        <f aca="true" t="shared" si="33" ref="Q349:Q354">SUM(Q346)</f>
        <v>11465.1</v>
      </c>
      <c r="R349" s="161"/>
    </row>
    <row r="350" spans="1:18" ht="22.5" customHeight="1" hidden="1">
      <c r="A350" s="161"/>
      <c r="B350" s="86" t="s">
        <v>44</v>
      </c>
      <c r="C350" s="310">
        <f>0.5</f>
        <v>0.5</v>
      </c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245">
        <f t="shared" si="33"/>
        <v>7880.4</v>
      </c>
      <c r="R350" s="161"/>
    </row>
    <row r="351" spans="1:18" ht="22.5" customHeight="1" hidden="1">
      <c r="A351" s="161"/>
      <c r="B351" s="86" t="s">
        <v>44</v>
      </c>
      <c r="C351" s="310">
        <f>0.5</f>
        <v>0.5</v>
      </c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245">
        <f t="shared" si="33"/>
        <v>1877.7</v>
      </c>
      <c r="R351" s="161"/>
    </row>
    <row r="352" spans="1:18" ht="28.5" customHeight="1" hidden="1">
      <c r="A352" s="161"/>
      <c r="B352" s="86" t="s">
        <v>44</v>
      </c>
      <c r="C352" s="310">
        <f>0.5</f>
        <v>0.5</v>
      </c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245">
        <f t="shared" si="33"/>
        <v>11465.1</v>
      </c>
      <c r="R352" s="161"/>
    </row>
    <row r="353" spans="1:18" ht="31.5" customHeight="1">
      <c r="A353" s="268" t="s">
        <v>276</v>
      </c>
      <c r="B353" s="86" t="s">
        <v>53</v>
      </c>
      <c r="C353" s="310">
        <f>C344</f>
        <v>0.5</v>
      </c>
      <c r="D353" s="270"/>
      <c r="E353" s="270" t="s">
        <v>76</v>
      </c>
      <c r="F353" s="270"/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45">
        <f>Q344</f>
        <v>1707</v>
      </c>
      <c r="R353" s="49"/>
    </row>
    <row r="354" spans="1:18" ht="38.25" hidden="1">
      <c r="A354" s="147"/>
      <c r="B354" s="49"/>
      <c r="C354" s="375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245">
        <f t="shared" si="33"/>
        <v>1877.7</v>
      </c>
      <c r="R354" s="49"/>
    </row>
    <row r="355" spans="1:18" ht="38.25">
      <c r="A355" s="147"/>
      <c r="B355" s="49"/>
      <c r="C355" s="375"/>
      <c r="D355" s="508" t="s">
        <v>293</v>
      </c>
      <c r="E355" s="508"/>
      <c r="F355" s="508"/>
      <c r="G355" s="508"/>
      <c r="H355" s="508"/>
      <c r="I355" s="508"/>
      <c r="J355" s="508"/>
      <c r="K355" s="508"/>
      <c r="L355" s="508"/>
      <c r="M355" s="508"/>
      <c r="N355" s="508"/>
      <c r="O355" s="508"/>
      <c r="P355" s="49"/>
      <c r="Q355" s="245"/>
      <c r="R355" s="49"/>
    </row>
    <row r="356" spans="1:18" ht="38.25">
      <c r="A356" s="125">
        <v>1</v>
      </c>
      <c r="B356" s="89" t="s">
        <v>168</v>
      </c>
      <c r="C356" s="331">
        <v>0.5</v>
      </c>
      <c r="D356" s="107">
        <v>5265</v>
      </c>
      <c r="E356" s="107"/>
      <c r="F356" s="107"/>
      <c r="G356" s="107"/>
      <c r="H356" s="107">
        <f>D356*0.15</f>
        <v>789.75</v>
      </c>
      <c r="I356" s="107"/>
      <c r="J356" s="107"/>
      <c r="K356" s="32">
        <f>SUM(D356:J356)</f>
        <v>6054.75</v>
      </c>
      <c r="L356" s="107"/>
      <c r="M356" s="107"/>
      <c r="N356" s="107">
        <f>K356*0.3</f>
        <v>1816.425</v>
      </c>
      <c r="O356" s="107"/>
      <c r="P356" s="193"/>
      <c r="Q356" s="32">
        <f>SUM(K356:P356)*C356</f>
        <v>3935.5875</v>
      </c>
      <c r="R356" s="65">
        <v>10</v>
      </c>
    </row>
    <row r="357" spans="1:18" ht="34.5" customHeight="1">
      <c r="A357" s="96">
        <v>2</v>
      </c>
      <c r="B357" s="82" t="s">
        <v>39</v>
      </c>
      <c r="C357" s="303">
        <v>0.5</v>
      </c>
      <c r="D357" s="69">
        <v>3414</v>
      </c>
      <c r="E357" s="69"/>
      <c r="F357" s="69"/>
      <c r="G357" s="69"/>
      <c r="H357" s="117">
        <f>D357*0.15</f>
        <v>512.1</v>
      </c>
      <c r="I357" s="69"/>
      <c r="J357" s="69"/>
      <c r="K357" s="69">
        <f>SUM(D357:J357)</f>
        <v>3926.1</v>
      </c>
      <c r="L357" s="69"/>
      <c r="M357" s="69"/>
      <c r="N357" s="69"/>
      <c r="O357" s="69"/>
      <c r="P357" s="97"/>
      <c r="Q357" s="73">
        <f>SUM(K357:P357)*C357</f>
        <v>1963.05</v>
      </c>
      <c r="R357" s="74">
        <v>3</v>
      </c>
    </row>
    <row r="358" spans="1:18" ht="34.5" customHeight="1">
      <c r="A358" s="440" t="s">
        <v>18</v>
      </c>
      <c r="B358" s="441"/>
      <c r="C358" s="296">
        <f>SUM(C356:C357)</f>
        <v>1</v>
      </c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174">
        <f>SUM(Q356:Q357)</f>
        <v>5898.6375</v>
      </c>
      <c r="R358" s="74"/>
    </row>
    <row r="359" spans="1:18" ht="41.25" customHeight="1">
      <c r="A359" s="93"/>
      <c r="B359" s="86" t="s">
        <v>54</v>
      </c>
      <c r="C359" s="310">
        <f>C356</f>
        <v>0.5</v>
      </c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3"/>
      <c r="Q359" s="245">
        <f>SUM(Q356)</f>
        <v>3935.5875</v>
      </c>
      <c r="R359" s="94"/>
    </row>
    <row r="360" spans="1:18" ht="29.25" customHeight="1">
      <c r="A360" s="93"/>
      <c r="B360" s="86" t="s">
        <v>44</v>
      </c>
      <c r="C360" s="310">
        <f>C357</f>
        <v>0.5</v>
      </c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181"/>
      <c r="Q360" s="245">
        <f>SUM(Q357)</f>
        <v>1963.05</v>
      </c>
      <c r="R360" s="94"/>
    </row>
    <row r="361" spans="1:18" ht="1.5" customHeight="1" hidden="1">
      <c r="A361" s="180"/>
      <c r="B361" s="49"/>
      <c r="C361" s="375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</row>
    <row r="362" spans="1:18" ht="1.5" customHeight="1" hidden="1">
      <c r="A362" s="180"/>
      <c r="B362" s="49"/>
      <c r="C362" s="375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ht="1.5" customHeight="1" hidden="1">
      <c r="A363" s="180"/>
      <c r="B363" s="49"/>
      <c r="C363" s="375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s="270" customFormat="1" ht="41.25" customHeight="1">
      <c r="A364" s="503" t="s">
        <v>121</v>
      </c>
      <c r="B364" s="503"/>
      <c r="C364" s="503"/>
      <c r="D364" s="503"/>
      <c r="E364" s="503"/>
      <c r="F364" s="503"/>
      <c r="G364" s="503"/>
      <c r="H364" s="503"/>
      <c r="I364" s="503"/>
      <c r="J364" s="503"/>
      <c r="K364" s="503"/>
      <c r="L364" s="503"/>
      <c r="M364" s="503"/>
      <c r="N364" s="503"/>
      <c r="O364" s="503"/>
      <c r="P364" s="503"/>
      <c r="Q364" s="503"/>
      <c r="R364" s="503"/>
    </row>
    <row r="365" spans="1:18" ht="81.75" customHeight="1">
      <c r="A365" s="125">
        <v>1</v>
      </c>
      <c r="B365" s="326" t="s">
        <v>233</v>
      </c>
      <c r="C365" s="331">
        <v>1</v>
      </c>
      <c r="D365" s="107">
        <v>6567</v>
      </c>
      <c r="E365" s="107">
        <f>D365*0.1</f>
        <v>656.7</v>
      </c>
      <c r="F365" s="107"/>
      <c r="G365" s="107"/>
      <c r="H365" s="107">
        <f>(D365+E365)*0.15</f>
        <v>1083.5549999999998</v>
      </c>
      <c r="I365" s="107"/>
      <c r="J365" s="107"/>
      <c r="K365" s="32">
        <f>SUM(D365:J365)</f>
        <v>8307.255</v>
      </c>
      <c r="L365" s="107"/>
      <c r="M365" s="107"/>
      <c r="N365" s="90">
        <f>K365*0.3</f>
        <v>2492.1764999999996</v>
      </c>
      <c r="O365" s="107"/>
      <c r="P365" s="193"/>
      <c r="Q365" s="32">
        <f>SUM(K365:P365)*C365</f>
        <v>10799.431499999999</v>
      </c>
      <c r="R365" s="65">
        <v>13</v>
      </c>
    </row>
    <row r="366" spans="1:18" ht="42" customHeight="1">
      <c r="A366" s="125">
        <v>2</v>
      </c>
      <c r="B366" s="327" t="s">
        <v>141</v>
      </c>
      <c r="C366" s="295">
        <v>2</v>
      </c>
      <c r="D366" s="55">
        <v>6567</v>
      </c>
      <c r="E366" s="55"/>
      <c r="F366" s="55"/>
      <c r="G366" s="55"/>
      <c r="H366" s="107">
        <f>D366*0.15</f>
        <v>985.05</v>
      </c>
      <c r="I366" s="55"/>
      <c r="J366" s="55"/>
      <c r="K366" s="55">
        <f>SUM(D366:J366)</f>
        <v>7552.05</v>
      </c>
      <c r="L366" s="55"/>
      <c r="M366" s="55"/>
      <c r="N366" s="90">
        <f>K366*0.3</f>
        <v>2265.615</v>
      </c>
      <c r="O366" s="55"/>
      <c r="P366" s="84"/>
      <c r="Q366" s="32">
        <f>SUM(K366:P366)*C366</f>
        <v>19635.33</v>
      </c>
      <c r="R366" s="56">
        <v>13</v>
      </c>
    </row>
    <row r="367" spans="1:18" ht="68.25" customHeight="1">
      <c r="A367" s="125">
        <v>3</v>
      </c>
      <c r="B367" s="325" t="s">
        <v>142</v>
      </c>
      <c r="C367" s="295">
        <v>2.25</v>
      </c>
      <c r="D367" s="54">
        <v>5265</v>
      </c>
      <c r="E367" s="55"/>
      <c r="F367" s="55"/>
      <c r="G367" s="55"/>
      <c r="H367" s="107">
        <f>D367*0.15</f>
        <v>789.75</v>
      </c>
      <c r="I367" s="55"/>
      <c r="J367" s="55"/>
      <c r="K367" s="55">
        <f>SUM(D367:J367)</f>
        <v>6054.75</v>
      </c>
      <c r="L367" s="55"/>
      <c r="M367" s="55"/>
      <c r="N367" s="90">
        <f>K367*0.3</f>
        <v>1816.425</v>
      </c>
      <c r="O367" s="55"/>
      <c r="P367" s="84"/>
      <c r="Q367" s="32">
        <f>SUM(K367:P367)*C367</f>
        <v>17710.14375</v>
      </c>
      <c r="R367" s="56">
        <v>10</v>
      </c>
    </row>
    <row r="368" spans="1:18" ht="68.25" customHeight="1">
      <c r="A368" s="125">
        <v>4</v>
      </c>
      <c r="B368" s="325" t="s">
        <v>275</v>
      </c>
      <c r="C368" s="295">
        <v>1</v>
      </c>
      <c r="D368" s="54">
        <v>5005</v>
      </c>
      <c r="E368" s="55"/>
      <c r="F368" s="55"/>
      <c r="G368" s="55"/>
      <c r="H368" s="107">
        <f>D368*0.15</f>
        <v>750.75</v>
      </c>
      <c r="I368" s="55"/>
      <c r="J368" s="55"/>
      <c r="K368" s="55">
        <f>SUM(D368:J368)</f>
        <v>5755.75</v>
      </c>
      <c r="L368" s="55"/>
      <c r="M368" s="55"/>
      <c r="N368" s="90">
        <f>K368*0.2</f>
        <v>1151.15</v>
      </c>
      <c r="O368" s="55"/>
      <c r="P368" s="84"/>
      <c r="Q368" s="32">
        <f>SUM(K368:P368)*C368</f>
        <v>6906.9</v>
      </c>
      <c r="R368" s="56">
        <v>9</v>
      </c>
    </row>
    <row r="369" spans="1:18" ht="45.75" customHeight="1">
      <c r="A369" s="125">
        <v>5</v>
      </c>
      <c r="B369" s="324" t="s">
        <v>45</v>
      </c>
      <c r="C369" s="295">
        <v>2</v>
      </c>
      <c r="D369" s="55">
        <v>3414</v>
      </c>
      <c r="E369" s="55"/>
      <c r="F369" s="55"/>
      <c r="G369" s="55"/>
      <c r="H369" s="107">
        <f>D369*0.15</f>
        <v>512.1</v>
      </c>
      <c r="I369" s="55"/>
      <c r="J369" s="55"/>
      <c r="K369" s="55">
        <f>SUM(D369:J369)</f>
        <v>3926.1</v>
      </c>
      <c r="L369" s="55"/>
      <c r="M369" s="55"/>
      <c r="N369" s="55"/>
      <c r="O369" s="55"/>
      <c r="P369" s="84">
        <f>D369*10%</f>
        <v>341.40000000000003</v>
      </c>
      <c r="Q369" s="32">
        <f>SUM(K369:P369)*C369</f>
        <v>8535</v>
      </c>
      <c r="R369" s="56">
        <v>3</v>
      </c>
    </row>
    <row r="370" spans="1:18" ht="35.25" customHeight="1" thickBot="1">
      <c r="A370" s="504" t="s">
        <v>18</v>
      </c>
      <c r="B370" s="505"/>
      <c r="C370" s="298">
        <f>SUM(C365:C369)</f>
        <v>8.25</v>
      </c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196">
        <f>SUM(Q365:Q369)</f>
        <v>63586.80525</v>
      </c>
      <c r="R370" s="217"/>
    </row>
    <row r="371" spans="1:18" ht="44.25" customHeight="1">
      <c r="A371" s="246"/>
      <c r="B371" s="185" t="s">
        <v>54</v>
      </c>
      <c r="C371" s="300">
        <f>C365+C366</f>
        <v>3</v>
      </c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220">
        <f>Q365+Q366</f>
        <v>30434.7615</v>
      </c>
      <c r="R371" s="161"/>
    </row>
    <row r="372" spans="1:18" ht="36" customHeight="1">
      <c r="A372" s="246"/>
      <c r="B372" s="247" t="s">
        <v>55</v>
      </c>
      <c r="C372" s="300">
        <f>C367+C368</f>
        <v>3.25</v>
      </c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220">
        <f>Q367+Q368</f>
        <v>24617.043749999997</v>
      </c>
      <c r="R372" s="161"/>
    </row>
    <row r="373" spans="1:18" ht="39.75" customHeight="1">
      <c r="A373" s="246"/>
      <c r="B373" s="248" t="s">
        <v>44</v>
      </c>
      <c r="C373" s="300">
        <f>C369</f>
        <v>2</v>
      </c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220">
        <f>Q369</f>
        <v>8535</v>
      </c>
      <c r="R373" s="161"/>
    </row>
    <row r="374" spans="1:18" s="9" customFormat="1" ht="27" customHeight="1">
      <c r="A374" s="466" t="s">
        <v>117</v>
      </c>
      <c r="B374" s="466"/>
      <c r="C374" s="466"/>
      <c r="D374" s="466"/>
      <c r="E374" s="466"/>
      <c r="F374" s="466"/>
      <c r="G374" s="466"/>
      <c r="H374" s="466"/>
      <c r="I374" s="466"/>
      <c r="J374" s="466"/>
      <c r="K374" s="466"/>
      <c r="L374" s="466"/>
      <c r="M374" s="466"/>
      <c r="N374" s="466"/>
      <c r="O374" s="466"/>
      <c r="P374" s="466"/>
      <c r="Q374" s="466"/>
      <c r="R374" s="466"/>
    </row>
    <row r="375" spans="1:18" ht="37.5">
      <c r="A375" s="50">
        <v>1</v>
      </c>
      <c r="B375" s="51">
        <v>2</v>
      </c>
      <c r="C375" s="411">
        <v>3</v>
      </c>
      <c r="D375" s="51">
        <v>4</v>
      </c>
      <c r="E375" s="51">
        <v>5</v>
      </c>
      <c r="F375" s="51">
        <v>6</v>
      </c>
      <c r="G375" s="51">
        <v>7</v>
      </c>
      <c r="H375" s="51">
        <v>8</v>
      </c>
      <c r="I375" s="51">
        <v>9</v>
      </c>
      <c r="J375" s="51">
        <v>10</v>
      </c>
      <c r="K375" s="51">
        <v>11</v>
      </c>
      <c r="L375" s="51">
        <v>12</v>
      </c>
      <c r="M375" s="51">
        <v>13</v>
      </c>
      <c r="N375" s="51">
        <v>14</v>
      </c>
      <c r="O375" s="51">
        <v>15</v>
      </c>
      <c r="P375" s="51">
        <v>16</v>
      </c>
      <c r="Q375" s="51">
        <v>17</v>
      </c>
      <c r="R375" s="51">
        <v>18</v>
      </c>
    </row>
    <row r="376" spans="1:18" ht="64.5" customHeight="1">
      <c r="A376" s="96">
        <v>1</v>
      </c>
      <c r="B376" s="399" t="s">
        <v>234</v>
      </c>
      <c r="C376" s="303">
        <v>1</v>
      </c>
      <c r="D376" s="69">
        <v>6567</v>
      </c>
      <c r="E376" s="69"/>
      <c r="F376" s="69"/>
      <c r="G376" s="69"/>
      <c r="H376" s="69"/>
      <c r="I376" s="69"/>
      <c r="J376" s="69"/>
      <c r="K376" s="69">
        <f>SUM(D376:J376)</f>
        <v>6567</v>
      </c>
      <c r="L376" s="69"/>
      <c r="M376" s="69"/>
      <c r="N376" s="69">
        <f>K376*0.3</f>
        <v>1970.1</v>
      </c>
      <c r="O376" s="69"/>
      <c r="P376" s="97"/>
      <c r="Q376" s="73">
        <f>SUM(K376:P376)*C376</f>
        <v>8537.1</v>
      </c>
      <c r="R376" s="74">
        <v>13</v>
      </c>
    </row>
    <row r="377" spans="1:18" ht="97.5" customHeight="1">
      <c r="A377" s="125">
        <v>2</v>
      </c>
      <c r="B377" s="399" t="s">
        <v>165</v>
      </c>
      <c r="C377" s="303">
        <v>0.75</v>
      </c>
      <c r="D377" s="69">
        <v>5005</v>
      </c>
      <c r="E377" s="249"/>
      <c r="F377" s="249"/>
      <c r="G377" s="249"/>
      <c r="H377" s="249"/>
      <c r="I377" s="249"/>
      <c r="J377" s="249"/>
      <c r="K377" s="69">
        <f>SUM(D377:J377)</f>
        <v>5005</v>
      </c>
      <c r="L377" s="249"/>
      <c r="M377" s="249"/>
      <c r="N377" s="69">
        <f>K377*0.3</f>
        <v>1501.5</v>
      </c>
      <c r="O377" s="249"/>
      <c r="P377" s="250"/>
      <c r="Q377" s="206">
        <f>SUM(K377:P377)*C377</f>
        <v>4879.875</v>
      </c>
      <c r="R377" s="251">
        <v>9</v>
      </c>
    </row>
    <row r="378" spans="1:18" ht="48" customHeight="1" thickBot="1">
      <c r="A378" s="498" t="s">
        <v>18</v>
      </c>
      <c r="B378" s="499"/>
      <c r="C378" s="308">
        <f>C376+C377</f>
        <v>1.75</v>
      </c>
      <c r="D378" s="252"/>
      <c r="E378" s="252"/>
      <c r="F378" s="252"/>
      <c r="G378" s="252"/>
      <c r="H378" s="252"/>
      <c r="I378" s="252"/>
      <c r="J378" s="252"/>
      <c r="K378" s="252"/>
      <c r="L378" s="252"/>
      <c r="M378" s="252"/>
      <c r="N378" s="252"/>
      <c r="O378" s="252"/>
      <c r="P378" s="252"/>
      <c r="Q378" s="196">
        <f>Q376+Q377</f>
        <v>13416.975</v>
      </c>
      <c r="R378" s="236"/>
    </row>
    <row r="379" spans="1:18" ht="36" customHeight="1">
      <c r="A379" s="198"/>
      <c r="B379" s="197" t="s">
        <v>54</v>
      </c>
      <c r="C379" s="300">
        <f>C376</f>
        <v>1</v>
      </c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253">
        <f>Q376</f>
        <v>8537.1</v>
      </c>
      <c r="R379" s="198"/>
    </row>
    <row r="380" spans="1:18" ht="36" customHeight="1">
      <c r="A380" s="198"/>
      <c r="B380" s="197" t="s">
        <v>55</v>
      </c>
      <c r="C380" s="300">
        <f>C377</f>
        <v>0.75</v>
      </c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254">
        <f>Q377</f>
        <v>4879.875</v>
      </c>
      <c r="R380" s="198"/>
    </row>
    <row r="381" spans="1:18" s="270" customFormat="1" ht="39" customHeight="1">
      <c r="A381" s="503" t="s">
        <v>84</v>
      </c>
      <c r="B381" s="503"/>
      <c r="C381" s="503"/>
      <c r="D381" s="503"/>
      <c r="E381" s="503"/>
      <c r="F381" s="503"/>
      <c r="G381" s="503"/>
      <c r="H381" s="503"/>
      <c r="I381" s="503"/>
      <c r="J381" s="503"/>
      <c r="K381" s="503"/>
      <c r="L381" s="503"/>
      <c r="M381" s="503"/>
      <c r="N381" s="503"/>
      <c r="O381" s="503"/>
      <c r="P381" s="503"/>
      <c r="Q381" s="503"/>
      <c r="R381" s="503"/>
    </row>
    <row r="382" spans="1:18" ht="37.5">
      <c r="A382" s="50">
        <v>1</v>
      </c>
      <c r="B382" s="51">
        <v>2</v>
      </c>
      <c r="C382" s="411">
        <v>3</v>
      </c>
      <c r="D382" s="51">
        <v>4</v>
      </c>
      <c r="E382" s="51">
        <v>5</v>
      </c>
      <c r="F382" s="51">
        <v>6</v>
      </c>
      <c r="G382" s="51">
        <v>7</v>
      </c>
      <c r="H382" s="51">
        <v>8</v>
      </c>
      <c r="I382" s="51">
        <v>9</v>
      </c>
      <c r="J382" s="51">
        <v>10</v>
      </c>
      <c r="K382" s="51">
        <v>11</v>
      </c>
      <c r="L382" s="51">
        <v>12</v>
      </c>
      <c r="M382" s="51">
        <v>13</v>
      </c>
      <c r="N382" s="51">
        <v>14</v>
      </c>
      <c r="O382" s="51">
        <v>15</v>
      </c>
      <c r="P382" s="51">
        <v>16</v>
      </c>
      <c r="Q382" s="51">
        <v>17</v>
      </c>
      <c r="R382" s="51">
        <v>18</v>
      </c>
    </row>
    <row r="383" spans="1:18" ht="79.5" customHeight="1">
      <c r="A383" s="96">
        <v>1</v>
      </c>
      <c r="B383" s="324" t="s">
        <v>235</v>
      </c>
      <c r="C383" s="295">
        <v>1</v>
      </c>
      <c r="D383" s="55">
        <v>6133</v>
      </c>
      <c r="E383" s="92">
        <f>D383*0.1</f>
        <v>613.3000000000001</v>
      </c>
      <c r="F383" s="55"/>
      <c r="G383" s="55"/>
      <c r="H383" s="55">
        <f>(D383+E383)*0.15</f>
        <v>1011.9449999999999</v>
      </c>
      <c r="I383" s="55"/>
      <c r="J383" s="55"/>
      <c r="K383" s="55">
        <f aca="true" t="shared" si="34" ref="K383:K389">SUM(D383:J383)</f>
        <v>7758.245</v>
      </c>
      <c r="L383" s="55"/>
      <c r="M383" s="55"/>
      <c r="N383" s="55">
        <f>K383*0.2</f>
        <v>1551.6490000000001</v>
      </c>
      <c r="O383" s="84"/>
      <c r="P383" s="84"/>
      <c r="Q383" s="32">
        <f aca="true" t="shared" si="35" ref="Q383:Q389">SUM(K383:P383)*C383</f>
        <v>9309.894</v>
      </c>
      <c r="R383" s="56">
        <v>12</v>
      </c>
    </row>
    <row r="384" spans="1:18" ht="99" customHeight="1">
      <c r="A384" s="96">
        <v>2</v>
      </c>
      <c r="B384" s="324" t="s">
        <v>143</v>
      </c>
      <c r="C384" s="295">
        <v>1</v>
      </c>
      <c r="D384" s="55">
        <v>5265</v>
      </c>
      <c r="E384" s="55"/>
      <c r="F384" s="55"/>
      <c r="G384" s="55"/>
      <c r="H384" s="55">
        <f aca="true" t="shared" si="36" ref="H384:H389">D384*0.15</f>
        <v>789.75</v>
      </c>
      <c r="I384" s="55"/>
      <c r="J384" s="55"/>
      <c r="K384" s="55">
        <f t="shared" si="34"/>
        <v>6054.75</v>
      </c>
      <c r="L384" s="55"/>
      <c r="M384" s="55"/>
      <c r="N384" s="55">
        <f>K384*0.1</f>
        <v>605.475</v>
      </c>
      <c r="O384" s="84"/>
      <c r="P384" s="84"/>
      <c r="Q384" s="32">
        <f t="shared" si="35"/>
        <v>6660.225</v>
      </c>
      <c r="R384" s="56">
        <v>10</v>
      </c>
    </row>
    <row r="385" spans="1:18" ht="42.75" customHeight="1">
      <c r="A385" s="96">
        <v>3</v>
      </c>
      <c r="B385" s="324" t="s">
        <v>271</v>
      </c>
      <c r="C385" s="295">
        <v>0.5</v>
      </c>
      <c r="D385" s="55">
        <v>6133</v>
      </c>
      <c r="E385" s="55"/>
      <c r="F385" s="55"/>
      <c r="G385" s="55"/>
      <c r="H385" s="55">
        <f t="shared" si="36"/>
        <v>919.9499999999999</v>
      </c>
      <c r="I385" s="55"/>
      <c r="J385" s="55"/>
      <c r="K385" s="55">
        <f t="shared" si="34"/>
        <v>7052.95</v>
      </c>
      <c r="L385" s="55"/>
      <c r="M385" s="55"/>
      <c r="N385" s="55">
        <f>K385*0.2</f>
        <v>1410.5900000000001</v>
      </c>
      <c r="O385" s="84"/>
      <c r="P385" s="84"/>
      <c r="Q385" s="32">
        <f t="shared" si="35"/>
        <v>4231.77</v>
      </c>
      <c r="R385" s="56">
        <v>12</v>
      </c>
    </row>
    <row r="386" spans="1:18" ht="39.75" customHeight="1">
      <c r="A386" s="96">
        <v>4</v>
      </c>
      <c r="B386" s="324" t="s">
        <v>144</v>
      </c>
      <c r="C386" s="295">
        <v>3</v>
      </c>
      <c r="D386" s="55">
        <v>5005</v>
      </c>
      <c r="E386" s="55"/>
      <c r="F386" s="55"/>
      <c r="G386" s="55"/>
      <c r="H386" s="55">
        <f t="shared" si="36"/>
        <v>750.75</v>
      </c>
      <c r="I386" s="55"/>
      <c r="J386" s="55"/>
      <c r="K386" s="55">
        <f t="shared" si="34"/>
        <v>5755.75</v>
      </c>
      <c r="L386" s="55"/>
      <c r="M386" s="55"/>
      <c r="N386" s="55">
        <f>K386*0.3</f>
        <v>1726.725</v>
      </c>
      <c r="O386" s="84"/>
      <c r="P386" s="84"/>
      <c r="Q386" s="32">
        <f t="shared" si="35"/>
        <v>22447.425000000003</v>
      </c>
      <c r="R386" s="56">
        <v>9</v>
      </c>
    </row>
    <row r="387" spans="1:18" ht="42" customHeight="1">
      <c r="A387" s="96">
        <v>5</v>
      </c>
      <c r="B387" s="324" t="s">
        <v>162</v>
      </c>
      <c r="C387" s="295">
        <v>1</v>
      </c>
      <c r="D387" s="55">
        <v>4455</v>
      </c>
      <c r="E387" s="55"/>
      <c r="F387" s="55"/>
      <c r="G387" s="55"/>
      <c r="H387" s="55">
        <f t="shared" si="36"/>
        <v>668.25</v>
      </c>
      <c r="I387" s="55"/>
      <c r="J387" s="55"/>
      <c r="K387" s="55">
        <f t="shared" si="34"/>
        <v>5123.25</v>
      </c>
      <c r="L387" s="55"/>
      <c r="M387" s="55"/>
      <c r="N387" s="55">
        <f>K387*0.3</f>
        <v>1536.975</v>
      </c>
      <c r="O387" s="84"/>
      <c r="P387" s="84"/>
      <c r="Q387" s="255">
        <f>SUM(K387:P387)*C387</f>
        <v>6660.225</v>
      </c>
      <c r="R387" s="56">
        <v>7</v>
      </c>
    </row>
    <row r="388" spans="1:18" ht="42" customHeight="1">
      <c r="A388" s="96">
        <v>6</v>
      </c>
      <c r="B388" s="324" t="s">
        <v>209</v>
      </c>
      <c r="C388" s="295">
        <v>1.5</v>
      </c>
      <c r="D388" s="55">
        <v>4195</v>
      </c>
      <c r="E388" s="55"/>
      <c r="F388" s="55"/>
      <c r="G388" s="55"/>
      <c r="H388" s="55">
        <f t="shared" si="36"/>
        <v>629.25</v>
      </c>
      <c r="I388" s="55"/>
      <c r="J388" s="55"/>
      <c r="K388" s="55">
        <f t="shared" si="34"/>
        <v>4824.25</v>
      </c>
      <c r="L388" s="55"/>
      <c r="M388" s="55"/>
      <c r="N388" s="55">
        <f>K388*0.2</f>
        <v>964.85</v>
      </c>
      <c r="O388" s="84"/>
      <c r="P388" s="84"/>
      <c r="Q388" s="255">
        <f>SUM(K388:P388)*C388</f>
        <v>8683.650000000001</v>
      </c>
      <c r="R388" s="56">
        <v>6</v>
      </c>
    </row>
    <row r="389" spans="1:18" ht="30" customHeight="1">
      <c r="A389" s="96">
        <v>7</v>
      </c>
      <c r="B389" s="324" t="s">
        <v>39</v>
      </c>
      <c r="C389" s="303">
        <v>1</v>
      </c>
      <c r="D389" s="69">
        <v>3414</v>
      </c>
      <c r="E389" s="69"/>
      <c r="F389" s="69"/>
      <c r="G389" s="69"/>
      <c r="H389" s="55">
        <f t="shared" si="36"/>
        <v>512.1</v>
      </c>
      <c r="I389" s="69"/>
      <c r="J389" s="69"/>
      <c r="K389" s="69">
        <f t="shared" si="34"/>
        <v>3926.1</v>
      </c>
      <c r="L389" s="69"/>
      <c r="M389" s="69"/>
      <c r="N389" s="69"/>
      <c r="O389" s="97"/>
      <c r="P389" s="97">
        <f>D389*10%</f>
        <v>341.40000000000003</v>
      </c>
      <c r="Q389" s="73">
        <f t="shared" si="35"/>
        <v>4267.5</v>
      </c>
      <c r="R389" s="56">
        <v>3</v>
      </c>
    </row>
    <row r="390" spans="1:18" ht="36" customHeight="1">
      <c r="A390" s="440" t="s">
        <v>18</v>
      </c>
      <c r="B390" s="441"/>
      <c r="C390" s="296">
        <f>SUM(C383:C389)</f>
        <v>9</v>
      </c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97"/>
      <c r="P390" s="97"/>
      <c r="Q390" s="256">
        <f>Q383+Q384+Q385+Q386+Q387+Q389+Q388</f>
        <v>62260.689000000006</v>
      </c>
      <c r="R390" s="56"/>
    </row>
    <row r="391" spans="1:18" ht="20.25" customHeight="1">
      <c r="A391" s="201"/>
      <c r="B391" s="201"/>
      <c r="C391" s="300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220"/>
      <c r="R391" s="161"/>
    </row>
    <row r="392" spans="1:18" ht="27.75" customHeight="1">
      <c r="A392" s="201"/>
      <c r="B392" s="257" t="s">
        <v>54</v>
      </c>
      <c r="C392" s="300">
        <v>2.5</v>
      </c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238">
        <f>Q383+Q384+Q385</f>
        <v>20201.889000000003</v>
      </c>
      <c r="R392" s="161"/>
    </row>
    <row r="393" spans="1:18" ht="35.25" customHeight="1">
      <c r="A393" s="201"/>
      <c r="B393" s="257" t="s">
        <v>55</v>
      </c>
      <c r="C393" s="300">
        <f>C386+C387+C388</f>
        <v>5.5</v>
      </c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238">
        <f>Q386+Q387+Q388</f>
        <v>37791.3</v>
      </c>
      <c r="R393" s="161"/>
    </row>
    <row r="394" spans="1:18" ht="35.25" customHeight="1">
      <c r="A394" s="201"/>
      <c r="B394" s="257" t="s">
        <v>44</v>
      </c>
      <c r="C394" s="300">
        <f>C389</f>
        <v>1</v>
      </c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238">
        <f>Q389</f>
        <v>4267.5</v>
      </c>
      <c r="R394" s="161"/>
    </row>
    <row r="395" spans="1:18" ht="3" customHeight="1">
      <c r="A395" s="93"/>
      <c r="B395" s="94"/>
      <c r="C395" s="376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49"/>
    </row>
    <row r="396" spans="1:18" ht="45.75" customHeight="1" hidden="1">
      <c r="A396" s="94"/>
      <c r="B396" s="94"/>
      <c r="C396" s="376"/>
      <c r="D396" s="93"/>
      <c r="E396" s="94"/>
      <c r="F396" s="93"/>
      <c r="G396" s="94"/>
      <c r="H396" s="94"/>
      <c r="I396" s="94"/>
      <c r="J396" s="94"/>
      <c r="K396" s="94"/>
      <c r="L396" s="94"/>
      <c r="M396" s="94"/>
      <c r="N396" s="94"/>
      <c r="O396" s="94"/>
      <c r="P396" s="93"/>
      <c r="Q396" s="93"/>
      <c r="R396" s="49"/>
    </row>
    <row r="397" spans="1:18" ht="45.75" customHeight="1" hidden="1">
      <c r="A397" s="94"/>
      <c r="B397" s="86"/>
      <c r="C397" s="310"/>
      <c r="D397" s="93"/>
      <c r="E397" s="94"/>
      <c r="F397" s="93"/>
      <c r="G397" s="94"/>
      <c r="H397" s="94"/>
      <c r="I397" s="94"/>
      <c r="J397" s="94"/>
      <c r="K397" s="94"/>
      <c r="L397" s="94"/>
      <c r="M397" s="94"/>
      <c r="N397" s="94"/>
      <c r="O397" s="94"/>
      <c r="P397" s="93"/>
      <c r="Q397" s="258"/>
      <c r="R397" s="49"/>
    </row>
    <row r="398" spans="1:18" ht="45.75" customHeight="1" hidden="1">
      <c r="A398" s="94"/>
      <c r="B398" s="86"/>
      <c r="C398" s="332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259"/>
      <c r="R398" s="49"/>
    </row>
    <row r="399" spans="1:18" ht="45.75" customHeight="1" hidden="1">
      <c r="A399" s="94"/>
      <c r="B399" s="86"/>
      <c r="C399" s="33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260"/>
      <c r="R399" s="49"/>
    </row>
    <row r="400" spans="1:18" ht="45.75" customHeight="1" hidden="1">
      <c r="A400" s="94"/>
      <c r="B400" s="86"/>
      <c r="C400" s="310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8"/>
      <c r="R400" s="49"/>
    </row>
    <row r="401" spans="1:18" ht="45.75" customHeight="1" hidden="1">
      <c r="A401" s="181"/>
      <c r="B401" s="86"/>
      <c r="C401" s="310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49"/>
    </row>
    <row r="402" spans="1:18" ht="45.75" customHeight="1" hidden="1">
      <c r="A402" s="181"/>
      <c r="B402" s="86"/>
      <c r="C402" s="310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37"/>
      <c r="R402" s="49"/>
    </row>
    <row r="403" spans="1:18" ht="45.75" customHeight="1">
      <c r="A403" s="515" t="s">
        <v>281</v>
      </c>
      <c r="B403" s="516"/>
      <c r="C403" s="516"/>
      <c r="D403" s="516"/>
      <c r="E403" s="516"/>
      <c r="F403" s="516"/>
      <c r="G403" s="516"/>
      <c r="H403" s="516"/>
      <c r="I403" s="516"/>
      <c r="J403" s="516"/>
      <c r="K403" s="516"/>
      <c r="L403" s="516"/>
      <c r="M403" s="516"/>
      <c r="N403" s="516"/>
      <c r="O403" s="516"/>
      <c r="P403" s="516"/>
      <c r="Q403" s="516"/>
      <c r="R403" s="516"/>
    </row>
    <row r="404" spans="1:18" ht="45.75" customHeight="1">
      <c r="A404" s="50">
        <v>1</v>
      </c>
      <c r="B404" s="51">
        <v>2</v>
      </c>
      <c r="C404" s="411">
        <v>3</v>
      </c>
      <c r="D404" s="51">
        <v>4</v>
      </c>
      <c r="E404" s="51">
        <v>5</v>
      </c>
      <c r="F404" s="51">
        <v>6</v>
      </c>
      <c r="G404" s="51">
        <v>7</v>
      </c>
      <c r="H404" s="51">
        <v>8</v>
      </c>
      <c r="I404" s="51">
        <v>9</v>
      </c>
      <c r="J404" s="51">
        <v>10</v>
      </c>
      <c r="K404" s="51">
        <v>11</v>
      </c>
      <c r="L404" s="51">
        <v>12</v>
      </c>
      <c r="M404" s="51">
        <v>13</v>
      </c>
      <c r="N404" s="51">
        <v>14</v>
      </c>
      <c r="O404" s="51">
        <v>15</v>
      </c>
      <c r="P404" s="51">
        <v>16</v>
      </c>
      <c r="Q404" s="51">
        <v>17</v>
      </c>
      <c r="R404" s="51">
        <v>18</v>
      </c>
    </row>
    <row r="405" spans="1:18" ht="123" customHeight="1">
      <c r="A405" s="37">
        <v>1</v>
      </c>
      <c r="B405" s="344" t="s">
        <v>287</v>
      </c>
      <c r="C405" s="307">
        <v>1</v>
      </c>
      <c r="D405" s="73">
        <v>6567</v>
      </c>
      <c r="E405" s="33">
        <f>D405*20%</f>
        <v>1313.4</v>
      </c>
      <c r="F405" s="33"/>
      <c r="G405" s="33"/>
      <c r="H405" s="33"/>
      <c r="I405" s="33"/>
      <c r="J405" s="33"/>
      <c r="K405" s="73">
        <f>D405+E405+F405+G405+H405+I405+J405</f>
        <v>7880.4</v>
      </c>
      <c r="L405" s="33"/>
      <c r="M405" s="33"/>
      <c r="N405" s="33">
        <f>K405*30%</f>
        <v>2364.12</v>
      </c>
      <c r="O405" s="33"/>
      <c r="P405" s="33"/>
      <c r="Q405" s="353">
        <f>(K405+L405+M405+N405+P405)*C405</f>
        <v>10244.52</v>
      </c>
      <c r="R405" s="40">
        <v>13</v>
      </c>
    </row>
    <row r="406" spans="1:18" ht="69.75" customHeight="1">
      <c r="A406" s="37">
        <v>2</v>
      </c>
      <c r="B406" s="344" t="s">
        <v>288</v>
      </c>
      <c r="C406" s="307">
        <v>1.5</v>
      </c>
      <c r="D406" s="73">
        <v>6567</v>
      </c>
      <c r="E406" s="33"/>
      <c r="F406" s="33"/>
      <c r="G406" s="33"/>
      <c r="H406" s="33"/>
      <c r="I406" s="33"/>
      <c r="J406" s="33"/>
      <c r="K406" s="73">
        <f aca="true" t="shared" si="37" ref="K406:K411">D406+E406+F406+G406+H406+I406+J406</f>
        <v>6567</v>
      </c>
      <c r="L406" s="33"/>
      <c r="M406" s="33"/>
      <c r="N406" s="33">
        <f>K406*20%</f>
        <v>1313.4</v>
      </c>
      <c r="O406" s="33"/>
      <c r="P406" s="33"/>
      <c r="Q406" s="353">
        <f aca="true" t="shared" si="38" ref="Q406:Q411">(K406+L406+M406+N406+P406)*C406</f>
        <v>11820.599999999999</v>
      </c>
      <c r="R406" s="40">
        <v>13</v>
      </c>
    </row>
    <row r="407" spans="1:18" ht="117" customHeight="1">
      <c r="A407" s="37">
        <v>3</v>
      </c>
      <c r="B407" s="344" t="s">
        <v>282</v>
      </c>
      <c r="C407" s="307">
        <v>0.5</v>
      </c>
      <c r="D407" s="73">
        <v>5265</v>
      </c>
      <c r="E407" s="33"/>
      <c r="F407" s="33"/>
      <c r="G407" s="33"/>
      <c r="H407" s="33"/>
      <c r="I407" s="33"/>
      <c r="J407" s="33"/>
      <c r="K407" s="73">
        <f t="shared" si="37"/>
        <v>5265</v>
      </c>
      <c r="L407" s="33"/>
      <c r="M407" s="33"/>
      <c r="N407" s="33">
        <f>K407*30%</f>
        <v>1579.5</v>
      </c>
      <c r="O407" s="33"/>
      <c r="P407" s="33"/>
      <c r="Q407" s="353">
        <f t="shared" si="38"/>
        <v>3422.25</v>
      </c>
      <c r="R407" s="40">
        <v>10</v>
      </c>
    </row>
    <row r="408" spans="1:18" ht="120.75" customHeight="1">
      <c r="A408" s="37">
        <v>4</v>
      </c>
      <c r="B408" s="344" t="s">
        <v>283</v>
      </c>
      <c r="C408" s="307">
        <v>1</v>
      </c>
      <c r="D408" s="73">
        <v>5265</v>
      </c>
      <c r="E408" s="33"/>
      <c r="F408" s="33"/>
      <c r="G408" s="33"/>
      <c r="H408" s="33"/>
      <c r="I408" s="33"/>
      <c r="J408" s="33"/>
      <c r="K408" s="73">
        <f t="shared" si="37"/>
        <v>5265</v>
      </c>
      <c r="L408" s="33"/>
      <c r="M408" s="33"/>
      <c r="N408" s="33">
        <f>K408*30%</f>
        <v>1579.5</v>
      </c>
      <c r="O408" s="33"/>
      <c r="P408" s="33"/>
      <c r="Q408" s="353">
        <f t="shared" si="38"/>
        <v>6844.5</v>
      </c>
      <c r="R408" s="40">
        <v>10</v>
      </c>
    </row>
    <row r="409" spans="1:18" ht="123" customHeight="1">
      <c r="A409" s="37">
        <v>5</v>
      </c>
      <c r="B409" s="344" t="s">
        <v>284</v>
      </c>
      <c r="C409" s="307">
        <v>5.5</v>
      </c>
      <c r="D409" s="73">
        <v>5265</v>
      </c>
      <c r="E409" s="33"/>
      <c r="F409" s="33"/>
      <c r="G409" s="33"/>
      <c r="H409" s="33"/>
      <c r="I409" s="33"/>
      <c r="J409" s="33"/>
      <c r="K409" s="73">
        <f t="shared" si="37"/>
        <v>5265</v>
      </c>
      <c r="L409" s="33"/>
      <c r="M409" s="33"/>
      <c r="N409" s="33">
        <f>K409*30%</f>
        <v>1579.5</v>
      </c>
      <c r="O409" s="33"/>
      <c r="P409" s="33"/>
      <c r="Q409" s="353">
        <f t="shared" si="38"/>
        <v>37644.75</v>
      </c>
      <c r="R409" s="40">
        <v>10</v>
      </c>
    </row>
    <row r="410" spans="1:18" ht="100.5" customHeight="1">
      <c r="A410" s="37">
        <v>6</v>
      </c>
      <c r="B410" s="344" t="s">
        <v>285</v>
      </c>
      <c r="C410" s="307">
        <v>1</v>
      </c>
      <c r="D410" s="73">
        <v>3674</v>
      </c>
      <c r="E410" s="33"/>
      <c r="F410" s="33"/>
      <c r="G410" s="33"/>
      <c r="H410" s="33"/>
      <c r="I410" s="33"/>
      <c r="J410" s="33"/>
      <c r="K410" s="73">
        <f t="shared" si="37"/>
        <v>3674</v>
      </c>
      <c r="L410" s="33"/>
      <c r="M410" s="33"/>
      <c r="N410" s="33"/>
      <c r="O410" s="33"/>
      <c r="P410" s="33"/>
      <c r="Q410" s="353">
        <f t="shared" si="38"/>
        <v>3674</v>
      </c>
      <c r="R410" s="40">
        <v>4</v>
      </c>
    </row>
    <row r="411" spans="1:18" ht="108.75" customHeight="1">
      <c r="A411" s="37">
        <v>7</v>
      </c>
      <c r="B411" s="344" t="s">
        <v>286</v>
      </c>
      <c r="C411" s="307">
        <v>1.5</v>
      </c>
      <c r="D411" s="73">
        <v>3674</v>
      </c>
      <c r="E411" s="33"/>
      <c r="F411" s="33"/>
      <c r="G411" s="33"/>
      <c r="H411" s="33"/>
      <c r="I411" s="33"/>
      <c r="J411" s="33"/>
      <c r="K411" s="73">
        <f t="shared" si="37"/>
        <v>3674</v>
      </c>
      <c r="L411" s="33"/>
      <c r="M411" s="33"/>
      <c r="N411" s="33"/>
      <c r="O411" s="354"/>
      <c r="P411" s="33">
        <f>K411*0.1</f>
        <v>367.40000000000003</v>
      </c>
      <c r="Q411" s="353">
        <f t="shared" si="38"/>
        <v>6062.1</v>
      </c>
      <c r="R411" s="40">
        <v>4</v>
      </c>
    </row>
    <row r="412" spans="1:18" ht="45.75" customHeight="1">
      <c r="A412" s="37"/>
      <c r="B412" s="113"/>
      <c r="C412" s="299">
        <f>SUM(C405:C411)</f>
        <v>12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52">
        <f>Q405+Q406+Q407+Q408+Q409+Q410+Q411</f>
        <v>79712.72</v>
      </c>
      <c r="R412" s="40"/>
    </row>
    <row r="413" spans="1:18" ht="43.5" customHeight="1">
      <c r="A413" s="201"/>
      <c r="B413" s="257" t="s">
        <v>54</v>
      </c>
      <c r="C413" s="300">
        <f>C405+C406</f>
        <v>2.5</v>
      </c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297">
        <f>Q405+Q406</f>
        <v>22065.12</v>
      </c>
      <c r="R413" s="161"/>
    </row>
    <row r="414" spans="1:18" ht="43.5" customHeight="1">
      <c r="A414" s="201"/>
      <c r="B414" s="257" t="s">
        <v>55</v>
      </c>
      <c r="C414" s="300">
        <f>C407+C408+C409</f>
        <v>7</v>
      </c>
      <c r="D414" s="198"/>
      <c r="E414" s="198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297">
        <f>Q407+Q408+Q409</f>
        <v>47911.5</v>
      </c>
      <c r="R414" s="161"/>
    </row>
    <row r="415" spans="1:18" ht="45.75" customHeight="1">
      <c r="A415" s="201"/>
      <c r="B415" s="257" t="s">
        <v>44</v>
      </c>
      <c r="C415" s="300">
        <f>C411</f>
        <v>1.5</v>
      </c>
      <c r="D415" s="198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297">
        <f>Q411</f>
        <v>6062.1</v>
      </c>
      <c r="R415" s="161"/>
    </row>
    <row r="416" spans="1:18" ht="45.75" customHeight="1">
      <c r="A416" s="181"/>
      <c r="B416" s="257" t="s">
        <v>53</v>
      </c>
      <c r="C416" s="300">
        <f>C410</f>
        <v>1</v>
      </c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297">
        <f>Q410</f>
        <v>3674</v>
      </c>
      <c r="R416" s="49"/>
    </row>
    <row r="417" spans="1:18" ht="45.75" customHeight="1">
      <c r="A417" s="515" t="s">
        <v>56</v>
      </c>
      <c r="B417" s="516"/>
      <c r="C417" s="516"/>
      <c r="D417" s="516"/>
      <c r="E417" s="516"/>
      <c r="F417" s="516"/>
      <c r="G417" s="516"/>
      <c r="H417" s="516"/>
      <c r="I417" s="516"/>
      <c r="J417" s="516"/>
      <c r="K417" s="516"/>
      <c r="L417" s="516"/>
      <c r="M417" s="516"/>
      <c r="N417" s="516"/>
      <c r="O417" s="516"/>
      <c r="P417" s="516"/>
      <c r="Q417" s="516"/>
      <c r="R417" s="516"/>
    </row>
    <row r="418" spans="1:18" ht="45.75" customHeight="1">
      <c r="A418" s="50">
        <v>1</v>
      </c>
      <c r="B418" s="51">
        <v>2</v>
      </c>
      <c r="C418" s="374">
        <v>3</v>
      </c>
      <c r="D418" s="51">
        <v>4</v>
      </c>
      <c r="E418" s="51">
        <v>5</v>
      </c>
      <c r="F418" s="51">
        <v>6</v>
      </c>
      <c r="G418" s="51">
        <v>7</v>
      </c>
      <c r="H418" s="51">
        <v>8</v>
      </c>
      <c r="I418" s="51">
        <v>9</v>
      </c>
      <c r="J418" s="51">
        <v>10</v>
      </c>
      <c r="K418" s="51">
        <v>11</v>
      </c>
      <c r="L418" s="51">
        <v>12</v>
      </c>
      <c r="M418" s="51">
        <v>13</v>
      </c>
      <c r="N418" s="51">
        <v>14</v>
      </c>
      <c r="O418" s="51">
        <v>15</v>
      </c>
      <c r="P418" s="51">
        <v>16</v>
      </c>
      <c r="Q418" s="51">
        <v>17</v>
      </c>
      <c r="R418" s="51">
        <v>18</v>
      </c>
    </row>
    <row r="419" spans="1:18" ht="94.5" customHeight="1">
      <c r="A419" s="37">
        <v>1</v>
      </c>
      <c r="B419" s="344" t="s">
        <v>304</v>
      </c>
      <c r="C419" s="307">
        <v>3.5</v>
      </c>
      <c r="D419" s="73">
        <v>6567</v>
      </c>
      <c r="E419" s="33"/>
      <c r="F419" s="33"/>
      <c r="G419" s="33"/>
      <c r="H419" s="33"/>
      <c r="I419" s="33"/>
      <c r="J419" s="33"/>
      <c r="K419" s="73">
        <f>D419+E419+F419+G419+H419+I419+J419</f>
        <v>6567</v>
      </c>
      <c r="L419" s="33"/>
      <c r="M419" s="33"/>
      <c r="N419" s="33">
        <f>K419*20%</f>
        <v>1313.4</v>
      </c>
      <c r="O419" s="33"/>
      <c r="P419" s="33"/>
      <c r="Q419" s="353">
        <f>(K419+L419+M419+N419+P419)*C419</f>
        <v>27581.399999999998</v>
      </c>
      <c r="R419" s="40">
        <v>13</v>
      </c>
    </row>
    <row r="420" spans="1:18" ht="113.25" customHeight="1">
      <c r="A420" s="37">
        <v>2</v>
      </c>
      <c r="B420" s="344" t="s">
        <v>305</v>
      </c>
      <c r="C420" s="307">
        <v>0.5</v>
      </c>
      <c r="D420" s="73">
        <v>6567</v>
      </c>
      <c r="E420" s="33"/>
      <c r="F420" s="33"/>
      <c r="G420" s="33"/>
      <c r="H420" s="33"/>
      <c r="I420" s="33"/>
      <c r="J420" s="33"/>
      <c r="K420" s="73">
        <f>D420+E420+F420+G420+H420+I420+J420</f>
        <v>6567</v>
      </c>
      <c r="L420" s="33"/>
      <c r="M420" s="33"/>
      <c r="N420" s="33">
        <f>K420*30%</f>
        <v>1970.1</v>
      </c>
      <c r="O420" s="33"/>
      <c r="P420" s="33"/>
      <c r="Q420" s="353">
        <f>(K420+L420+M420+N420+P420)*C420</f>
        <v>4268.55</v>
      </c>
      <c r="R420" s="40">
        <v>10</v>
      </c>
    </row>
    <row r="421" spans="1:18" ht="112.5" customHeight="1">
      <c r="A421" s="37">
        <v>3</v>
      </c>
      <c r="B421" s="344" t="s">
        <v>284</v>
      </c>
      <c r="C421" s="307">
        <v>4.5</v>
      </c>
      <c r="D421" s="73">
        <v>5266</v>
      </c>
      <c r="E421" s="33"/>
      <c r="F421" s="33"/>
      <c r="G421" s="33"/>
      <c r="H421" s="33"/>
      <c r="I421" s="33"/>
      <c r="J421" s="33"/>
      <c r="K421" s="73">
        <f>D421+E421+F421+G421+H421+I421+J421</f>
        <v>5266</v>
      </c>
      <c r="L421" s="33"/>
      <c r="M421" s="33"/>
      <c r="N421" s="33">
        <f>K421*30%</f>
        <v>1579.8</v>
      </c>
      <c r="O421" s="33"/>
      <c r="P421" s="33"/>
      <c r="Q421" s="353">
        <f>(K421+L421+M421+N421+P421)*C421</f>
        <v>30806.100000000002</v>
      </c>
      <c r="R421" s="40">
        <v>10</v>
      </c>
    </row>
    <row r="422" spans="1:18" ht="120.75" customHeight="1">
      <c r="A422" s="37">
        <v>4</v>
      </c>
      <c r="B422" s="344" t="s">
        <v>286</v>
      </c>
      <c r="C422" s="307">
        <v>4.5</v>
      </c>
      <c r="D422" s="73">
        <v>3674</v>
      </c>
      <c r="E422" s="33"/>
      <c r="F422" s="33"/>
      <c r="G422" s="33"/>
      <c r="H422" s="33"/>
      <c r="I422" s="33"/>
      <c r="J422" s="33"/>
      <c r="K422" s="73">
        <f>D422+E422+F422+G422+H422+I422+J422</f>
        <v>3674</v>
      </c>
      <c r="L422" s="33"/>
      <c r="M422" s="33"/>
      <c r="N422" s="33"/>
      <c r="O422" s="354"/>
      <c r="P422" s="33">
        <f>K422*0.1</f>
        <v>367.40000000000003</v>
      </c>
      <c r="Q422" s="353">
        <f>(K422+L422+M422+N422+P422)*C422</f>
        <v>18186.3</v>
      </c>
      <c r="R422" s="40">
        <v>4</v>
      </c>
    </row>
    <row r="423" spans="1:18" ht="45.75" customHeight="1">
      <c r="A423" s="37"/>
      <c r="B423" s="113"/>
      <c r="C423" s="299">
        <f>SUM(C419:C422)</f>
        <v>13</v>
      </c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52">
        <f>Q419+Q420+Q421+Q422</f>
        <v>80842.35</v>
      </c>
      <c r="R423" s="40"/>
    </row>
    <row r="424" spans="1:18" ht="45.75" customHeight="1">
      <c r="A424" s="201"/>
      <c r="B424" s="257" t="s">
        <v>54</v>
      </c>
      <c r="C424" s="300">
        <f>C419</f>
        <v>3.5</v>
      </c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297">
        <f>Q419</f>
        <v>27581.399999999998</v>
      </c>
      <c r="R424" s="161"/>
    </row>
    <row r="425" spans="1:18" ht="45.75" customHeight="1">
      <c r="A425" s="201"/>
      <c r="B425" s="257" t="s">
        <v>55</v>
      </c>
      <c r="C425" s="300">
        <f>C420+C421</f>
        <v>5</v>
      </c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297">
        <f>Q420+Q421</f>
        <v>35074.65</v>
      </c>
      <c r="R425" s="161"/>
    </row>
    <row r="426" spans="1:18" ht="45.75" customHeight="1">
      <c r="A426" s="201"/>
      <c r="B426" s="257" t="s">
        <v>44</v>
      </c>
      <c r="C426" s="300">
        <f>C422</f>
        <v>4.5</v>
      </c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297">
        <f>Q422</f>
        <v>18186.3</v>
      </c>
      <c r="R426" s="161"/>
    </row>
    <row r="427" spans="1:18" ht="45.75" customHeight="1">
      <c r="A427" s="181"/>
      <c r="B427" s="257"/>
      <c r="C427" s="300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297"/>
      <c r="R427" s="49"/>
    </row>
    <row r="428" spans="1:18" ht="45.75" customHeight="1">
      <c r="A428" s="181"/>
      <c r="B428" s="86"/>
      <c r="C428" s="310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37"/>
      <c r="R428" s="49"/>
    </row>
    <row r="429" spans="1:19" ht="84.75" customHeight="1">
      <c r="A429" s="41"/>
      <c r="B429" s="364" t="s">
        <v>294</v>
      </c>
      <c r="C429" s="333">
        <f>SUM(C430:C433)</f>
        <v>263.75</v>
      </c>
      <c r="D429" s="517"/>
      <c r="E429" s="518"/>
      <c r="F429" s="518"/>
      <c r="G429" s="518"/>
      <c r="H429" s="518"/>
      <c r="I429" s="518"/>
      <c r="J429" s="518"/>
      <c r="K429" s="518"/>
      <c r="L429" s="518"/>
      <c r="M429" s="518"/>
      <c r="N429" s="518"/>
      <c r="O429" s="518"/>
      <c r="P429" s="519"/>
      <c r="Q429" s="329">
        <f>SUM(Q430:Q433)</f>
        <v>1667836.04255</v>
      </c>
      <c r="R429" s="49"/>
      <c r="S429" s="271"/>
    </row>
    <row r="430" spans="1:19" ht="37.5" customHeight="1">
      <c r="A430" s="41"/>
      <c r="B430" s="261" t="s">
        <v>54</v>
      </c>
      <c r="C430" s="334">
        <f>C22+C138+C181+C227+C251+C289+C310+C335+C347+C359+C371+C379+C392+C413+C424</f>
        <v>64</v>
      </c>
      <c r="D430" s="509"/>
      <c r="E430" s="510"/>
      <c r="F430" s="510"/>
      <c r="G430" s="510"/>
      <c r="H430" s="510"/>
      <c r="I430" s="510"/>
      <c r="J430" s="510"/>
      <c r="K430" s="510"/>
      <c r="L430" s="510"/>
      <c r="M430" s="510"/>
      <c r="N430" s="510"/>
      <c r="O430" s="510"/>
      <c r="P430" s="511"/>
      <c r="Q430" s="345">
        <f>Q22+Q138+Q181+Q227+Q251+Q289+Q310+Q335+Q347+Q359+Q371+Q379+Q392+Q413+4166.84</f>
        <v>547844.3484</v>
      </c>
      <c r="R430" s="49"/>
      <c r="S430" s="271"/>
    </row>
    <row r="431" spans="1:19" ht="37.5" customHeight="1">
      <c r="A431" s="41"/>
      <c r="B431" s="261" t="s">
        <v>55</v>
      </c>
      <c r="C431" s="334">
        <f>C139+C211+C228+C252+C262+C274+C290+C311+C336+C372+C380+C393+C414+C425</f>
        <v>99.25</v>
      </c>
      <c r="D431" s="520"/>
      <c r="E431" s="521"/>
      <c r="F431" s="521"/>
      <c r="G431" s="521"/>
      <c r="H431" s="521"/>
      <c r="I431" s="521"/>
      <c r="J431" s="521"/>
      <c r="K431" s="521"/>
      <c r="L431" s="521"/>
      <c r="M431" s="521"/>
      <c r="N431" s="521"/>
      <c r="O431" s="521"/>
      <c r="P431" s="522"/>
      <c r="Q431" s="345">
        <f>Q139+Q211+Q228+Q252+Q262+Q274+Q290+Q311+Q336+Q372+Q380+Q393+Q414</f>
        <v>679760.8251499999</v>
      </c>
      <c r="R431" s="49"/>
      <c r="S431" s="271"/>
    </row>
    <row r="432" spans="1:19" ht="39.75" customHeight="1">
      <c r="A432" s="41"/>
      <c r="B432" s="261" t="s">
        <v>44</v>
      </c>
      <c r="C432" s="334">
        <f>C140+C218+C253+C263+C275+C291+C312+C337+C348+C360+C373+C394+C415+C426</f>
        <v>47.75</v>
      </c>
      <c r="D432" s="509"/>
      <c r="E432" s="510"/>
      <c r="F432" s="510"/>
      <c r="G432" s="510"/>
      <c r="H432" s="510"/>
      <c r="I432" s="510"/>
      <c r="J432" s="510"/>
      <c r="K432" s="510"/>
      <c r="L432" s="510"/>
      <c r="M432" s="510"/>
      <c r="N432" s="510"/>
      <c r="O432" s="510"/>
      <c r="P432" s="511"/>
      <c r="Q432" s="345">
        <f>Q140+Q218+Q253+Q263+Q275+Q291+Q312+Q337+Q348+Q360+Q373+Q394+Q415</f>
        <v>174953.7</v>
      </c>
      <c r="R432" s="49"/>
      <c r="S432" s="271"/>
    </row>
    <row r="433" spans="1:19" ht="42" customHeight="1">
      <c r="A433" s="41"/>
      <c r="B433" s="261" t="s">
        <v>57</v>
      </c>
      <c r="C433" s="334">
        <f>C23+C49+C56+C64+C113+C78+C141+C219+C313+C338+C416+C353</f>
        <v>52.75</v>
      </c>
      <c r="D433" s="512"/>
      <c r="E433" s="513"/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4"/>
      <c r="Q433" s="345">
        <f>Q23+Q49+Q56+Q64+Q113+Q78+Q141+Q219+Q313+Q338+Q416+Q353-4018.72</f>
        <v>265277.169</v>
      </c>
      <c r="R433" s="49"/>
      <c r="S433" s="271"/>
    </row>
    <row r="434" spans="1:18" ht="45.75" customHeight="1">
      <c r="A434" s="49"/>
      <c r="B434" s="41"/>
      <c r="C434" s="375"/>
      <c r="D434" s="49"/>
      <c r="E434" s="41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</row>
    <row r="435" spans="1:18" ht="45.75" customHeight="1">
      <c r="A435" s="41"/>
      <c r="B435" s="420"/>
      <c r="C435" s="421" t="s">
        <v>329</v>
      </c>
      <c r="D435" s="420"/>
      <c r="E435" s="420"/>
      <c r="F435" s="420"/>
      <c r="G435" s="420"/>
      <c r="H435" s="420" t="s">
        <v>330</v>
      </c>
      <c r="I435" s="420"/>
      <c r="J435" s="420"/>
      <c r="K435" s="49"/>
      <c r="L435" s="49"/>
      <c r="M435" s="49"/>
      <c r="N435" s="49"/>
      <c r="O435" s="49"/>
      <c r="P435" s="49"/>
      <c r="Q435" s="49"/>
      <c r="R435" s="49"/>
    </row>
    <row r="436" spans="1:18" ht="45.75" customHeight="1">
      <c r="A436" s="49"/>
      <c r="B436" s="41"/>
      <c r="C436" s="375"/>
      <c r="D436" s="49"/>
      <c r="E436" s="49"/>
      <c r="F436" s="49"/>
      <c r="G436" s="49"/>
      <c r="H436" s="49"/>
      <c r="I436" s="19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26.25">
      <c r="A437" s="22"/>
      <c r="B437" s="20"/>
      <c r="C437" s="371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ht="18.75">
      <c r="A438" s="12"/>
    </row>
    <row r="439" ht="18.75">
      <c r="A439" s="12"/>
    </row>
    <row r="440" ht="18.75">
      <c r="A440" s="12"/>
    </row>
  </sheetData>
  <sheetProtection/>
  <mergeCells count="122">
    <mergeCell ref="D432:P432"/>
    <mergeCell ref="D433:P433"/>
    <mergeCell ref="A390:B390"/>
    <mergeCell ref="A403:R403"/>
    <mergeCell ref="A417:R417"/>
    <mergeCell ref="D429:P429"/>
    <mergeCell ref="D430:P430"/>
    <mergeCell ref="D431:P431"/>
    <mergeCell ref="A358:B358"/>
    <mergeCell ref="A364:R364"/>
    <mergeCell ref="A370:B370"/>
    <mergeCell ref="A374:R374"/>
    <mergeCell ref="A378:B378"/>
    <mergeCell ref="A381:R381"/>
    <mergeCell ref="A307:R307"/>
    <mergeCell ref="A308:B308"/>
    <mergeCell ref="A314:R314"/>
    <mergeCell ref="A333:B333"/>
    <mergeCell ref="A346:B346"/>
    <mergeCell ref="D355:O355"/>
    <mergeCell ref="A273:B273"/>
    <mergeCell ref="A274:B274"/>
    <mergeCell ref="A275:B275"/>
    <mergeCell ref="A277:R277"/>
    <mergeCell ref="A287:B287"/>
    <mergeCell ref="A293:R293"/>
    <mergeCell ref="A239:R239"/>
    <mergeCell ref="A250:B250"/>
    <mergeCell ref="A254:R254"/>
    <mergeCell ref="A260:B260"/>
    <mergeCell ref="A266:R266"/>
    <mergeCell ref="A272:B272"/>
    <mergeCell ref="A237:R237"/>
    <mergeCell ref="A211:B211"/>
    <mergeCell ref="E213:M213"/>
    <mergeCell ref="A217:B217"/>
    <mergeCell ref="E221:K221"/>
    <mergeCell ref="A230:R230"/>
    <mergeCell ref="B234:D234"/>
    <mergeCell ref="L190:L191"/>
    <mergeCell ref="M190:M191"/>
    <mergeCell ref="O190:O191"/>
    <mergeCell ref="P190:P191"/>
    <mergeCell ref="Q190:Q191"/>
    <mergeCell ref="R190:R191"/>
    <mergeCell ref="B177:R177"/>
    <mergeCell ref="A190:A191"/>
    <mergeCell ref="B190:B191"/>
    <mergeCell ref="C190:C191"/>
    <mergeCell ref="D190:D191"/>
    <mergeCell ref="E190:E191"/>
    <mergeCell ref="F190:F191"/>
    <mergeCell ref="G190:G191"/>
    <mergeCell ref="I190:I191"/>
    <mergeCell ref="J190:J191"/>
    <mergeCell ref="J149:J150"/>
    <mergeCell ref="L149:L150"/>
    <mergeCell ref="M149:M150"/>
    <mergeCell ref="P149:P150"/>
    <mergeCell ref="R149:R150"/>
    <mergeCell ref="B149:B150"/>
    <mergeCell ref="C149:C150"/>
    <mergeCell ref="D149:D150"/>
    <mergeCell ref="E149:E150"/>
    <mergeCell ref="F149:F150"/>
    <mergeCell ref="G149:G150"/>
    <mergeCell ref="M121:M122"/>
    <mergeCell ref="N121:N122"/>
    <mergeCell ref="O121:O122"/>
    <mergeCell ref="P121:P122"/>
    <mergeCell ref="A124:R124"/>
    <mergeCell ref="A143:R143"/>
    <mergeCell ref="A120:A122"/>
    <mergeCell ref="B120:B122"/>
    <mergeCell ref="L120:N120"/>
    <mergeCell ref="O120:P120"/>
    <mergeCell ref="Q120:Q122"/>
    <mergeCell ref="R120:R122"/>
    <mergeCell ref="E121:E122"/>
    <mergeCell ref="F121:F122"/>
    <mergeCell ref="H121:H122"/>
    <mergeCell ref="I121:I122"/>
    <mergeCell ref="J121:J122"/>
    <mergeCell ref="L121:L122"/>
    <mergeCell ref="Q99:Q100"/>
    <mergeCell ref="R99:R100"/>
    <mergeCell ref="E99:J99"/>
    <mergeCell ref="K99:K100"/>
    <mergeCell ref="L99:N99"/>
    <mergeCell ref="O99:P99"/>
    <mergeCell ref="C99:C100"/>
    <mergeCell ref="D99:D100"/>
    <mergeCell ref="C120:C122"/>
    <mergeCell ref="D120:D122"/>
    <mergeCell ref="E120:J120"/>
    <mergeCell ref="K120:K122"/>
    <mergeCell ref="A58:R58"/>
    <mergeCell ref="A64:B64"/>
    <mergeCell ref="A112:B112"/>
    <mergeCell ref="B115:C115"/>
    <mergeCell ref="B116:C116"/>
    <mergeCell ref="B117:C117"/>
    <mergeCell ref="A67:R67"/>
    <mergeCell ref="A78:B78"/>
    <mergeCell ref="A99:A100"/>
    <mergeCell ref="B99:B100"/>
    <mergeCell ref="K7:K8"/>
    <mergeCell ref="L7:N7"/>
    <mergeCell ref="A12:M12"/>
    <mergeCell ref="A13:M13"/>
    <mergeCell ref="A52:R52"/>
    <mergeCell ref="A56:B56"/>
    <mergeCell ref="O7:P7"/>
    <mergeCell ref="Q7:Q8"/>
    <mergeCell ref="R7:R8"/>
    <mergeCell ref="A10:M10"/>
    <mergeCell ref="A11:M11"/>
    <mergeCell ref="A7:A8"/>
    <mergeCell ref="B7:B8"/>
    <mergeCell ref="C7:C8"/>
    <mergeCell ref="D7:D8"/>
    <mergeCell ref="E7:J7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landscape" paperSize="9" scale="29" r:id="rId3"/>
  <rowBreaks count="3" manualBreakCount="3">
    <brk id="193" max="17" man="1"/>
    <brk id="220" max="17" man="1"/>
    <brk id="363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S21"/>
  <sheetViews>
    <sheetView view="pageBreakPreview" zoomScale="75" zoomScaleNormal="75" zoomScaleSheetLayoutView="75" zoomScalePageLayoutView="0" workbookViewId="0" topLeftCell="A1">
      <selection activeCell="A15" sqref="A15:A17"/>
    </sheetView>
  </sheetViews>
  <sheetFormatPr defaultColWidth="9.00390625" defaultRowHeight="12.75"/>
  <cols>
    <col min="1" max="1" width="4.875" style="4" customWidth="1"/>
    <col min="2" max="2" width="27.875" style="4" customWidth="1"/>
    <col min="3" max="3" width="15.75390625" style="4" customWidth="1"/>
    <col min="4" max="4" width="8.00390625" style="4" customWidth="1"/>
    <col min="5" max="5" width="9.625" style="4" customWidth="1"/>
    <col min="6" max="6" width="7.375" style="4" customWidth="1"/>
    <col min="7" max="7" width="7.00390625" style="4" customWidth="1"/>
    <col min="8" max="8" width="11.625" style="4" customWidth="1"/>
    <col min="9" max="9" width="9.75390625" style="4" customWidth="1"/>
    <col min="10" max="10" width="10.875" style="4" customWidth="1"/>
    <col min="11" max="11" width="11.375" style="4" customWidth="1"/>
    <col min="12" max="12" width="8.375" style="4" customWidth="1"/>
    <col min="13" max="13" width="9.875" style="4" bestFit="1" customWidth="1"/>
    <col min="14" max="14" width="9.25390625" style="4" bestFit="1" customWidth="1"/>
    <col min="15" max="15" width="10.25390625" style="4" customWidth="1"/>
    <col min="16" max="16" width="7.875" style="4" customWidth="1"/>
    <col min="17" max="17" width="9.875" style="4" customWidth="1"/>
    <col min="18" max="18" width="9.75390625" style="4" customWidth="1"/>
    <col min="19" max="19" width="13.875" style="4" customWidth="1"/>
    <col min="20" max="16384" width="9.125" style="4" customWidth="1"/>
  </cols>
  <sheetData>
    <row r="1" spans="1:8" ht="15.75">
      <c r="A1" s="13"/>
      <c r="H1" s="13"/>
    </row>
    <row r="2" spans="1:19" ht="16.5">
      <c r="A2" s="13"/>
      <c r="B2" s="544" t="s">
        <v>264</v>
      </c>
      <c r="C2" s="544"/>
      <c r="D2" s="544"/>
      <c r="E2" s="544"/>
      <c r="F2" s="11"/>
      <c r="G2" s="11"/>
      <c r="H2" s="11"/>
      <c r="I2" s="11"/>
      <c r="L2" s="544" t="s">
        <v>219</v>
      </c>
      <c r="M2" s="544"/>
      <c r="N2" s="544"/>
      <c r="O2" s="544"/>
      <c r="P2" s="544"/>
      <c r="Q2" s="544"/>
      <c r="R2" s="544"/>
      <c r="S2" s="19"/>
    </row>
    <row r="3" spans="1:19" ht="16.5">
      <c r="A3" s="13"/>
      <c r="B3" s="544" t="s">
        <v>325</v>
      </c>
      <c r="C3" s="544"/>
      <c r="D3" s="544"/>
      <c r="E3" s="544"/>
      <c r="F3" s="11"/>
      <c r="G3" s="11"/>
      <c r="H3" s="11"/>
      <c r="I3" s="11"/>
      <c r="L3" s="543" t="s">
        <v>324</v>
      </c>
      <c r="M3" s="543"/>
      <c r="N3" s="543"/>
      <c r="O3" s="543"/>
      <c r="P3" s="543"/>
      <c r="Q3" s="543"/>
      <c r="R3" s="543"/>
      <c r="S3" s="543"/>
    </row>
    <row r="4" spans="1:19" ht="15.75">
      <c r="A4" s="13"/>
      <c r="B4" s="543" t="s">
        <v>216</v>
      </c>
      <c r="C4" s="543"/>
      <c r="D4" s="543"/>
      <c r="E4" s="543"/>
      <c r="F4" s="7"/>
      <c r="G4" s="7"/>
      <c r="H4" s="7"/>
      <c r="I4" s="7"/>
      <c r="L4" s="543" t="s">
        <v>216</v>
      </c>
      <c r="M4" s="543"/>
      <c r="N4" s="543"/>
      <c r="O4" s="543"/>
      <c r="P4" s="543"/>
      <c r="Q4" s="543"/>
      <c r="R4" s="543"/>
      <c r="S4" s="543"/>
    </row>
    <row r="5" spans="1:19" ht="15.75">
      <c r="A5" s="13"/>
      <c r="B5" s="365" t="s">
        <v>326</v>
      </c>
      <c r="C5" s="7"/>
      <c r="D5" s="7"/>
      <c r="E5" s="7"/>
      <c r="F5" s="7"/>
      <c r="G5" s="7"/>
      <c r="H5" s="7"/>
      <c r="I5" s="7"/>
      <c r="K5" s="543" t="str">
        <f>B5</f>
        <v>один мільйон шістсот шістдесят сім тисяч вісімсот тридцять шість грн., 04 коп</v>
      </c>
      <c r="L5" s="543"/>
      <c r="M5" s="543"/>
      <c r="N5" s="543"/>
      <c r="O5" s="543"/>
      <c r="P5" s="543"/>
      <c r="Q5" s="543"/>
      <c r="R5" s="543"/>
      <c r="S5" s="543"/>
    </row>
    <row r="6" spans="1:17" ht="18">
      <c r="A6" s="13"/>
      <c r="L6" s="5"/>
      <c r="M6" s="14"/>
      <c r="N6" s="14"/>
      <c r="O6" s="14"/>
      <c r="P6" s="14"/>
      <c r="Q6" s="14"/>
    </row>
    <row r="7" spans="1:19" ht="65.25" customHeight="1">
      <c r="A7" s="13"/>
      <c r="B7" s="368" t="s">
        <v>322</v>
      </c>
      <c r="C7" s="368"/>
      <c r="D7" s="346"/>
      <c r="E7" s="346"/>
      <c r="F7" s="532" t="s">
        <v>323</v>
      </c>
      <c r="G7" s="532"/>
      <c r="H7" s="532"/>
      <c r="I7" s="532"/>
      <c r="J7" s="532" t="s">
        <v>320</v>
      </c>
      <c r="K7" s="532"/>
      <c r="L7" s="532"/>
      <c r="M7" s="532"/>
      <c r="N7" s="539"/>
      <c r="O7" s="539"/>
      <c r="P7" s="540" t="s">
        <v>321</v>
      </c>
      <c r="Q7" s="540"/>
      <c r="R7" s="540"/>
      <c r="S7" s="540"/>
    </row>
    <row r="8" spans="1:16" ht="18">
      <c r="A8" s="13"/>
      <c r="C8" s="5" t="s">
        <v>262</v>
      </c>
      <c r="E8" s="4" t="s">
        <v>261</v>
      </c>
      <c r="H8" s="349"/>
      <c r="I8" s="349"/>
      <c r="J8" s="350"/>
      <c r="L8" s="348" t="s">
        <v>262</v>
      </c>
      <c r="M8" s="347"/>
      <c r="N8" s="542" t="s">
        <v>261</v>
      </c>
      <c r="O8" s="542"/>
      <c r="P8" s="347"/>
    </row>
    <row r="9" spans="1:16" ht="18">
      <c r="A9" s="13"/>
      <c r="H9" s="541" t="s">
        <v>263</v>
      </c>
      <c r="I9" s="541"/>
      <c r="J9" s="541"/>
      <c r="L9" s="319"/>
      <c r="M9" s="318"/>
      <c r="N9" s="318"/>
      <c r="O9" s="318"/>
      <c r="P9" s="318"/>
    </row>
    <row r="10" spans="1:17" ht="18">
      <c r="A10" s="13"/>
      <c r="L10" s="5"/>
      <c r="M10" s="14"/>
      <c r="N10" s="14"/>
      <c r="O10" s="14"/>
      <c r="P10" s="14"/>
      <c r="Q10" s="14"/>
    </row>
    <row r="11" spans="1:17" ht="21.75" customHeight="1">
      <c r="A11" s="13"/>
      <c r="J11" s="289"/>
      <c r="L11" s="5"/>
      <c r="M11" s="14"/>
      <c r="N11" s="14"/>
      <c r="O11" s="14"/>
      <c r="P11" s="14"/>
      <c r="Q11" s="14"/>
    </row>
    <row r="12" spans="1:19" ht="24" customHeight="1">
      <c r="A12" s="531" t="s">
        <v>75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</row>
    <row r="13" spans="1:19" ht="23.25" customHeight="1">
      <c r="A13" s="531" t="s">
        <v>79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</row>
    <row r="14" spans="1:19" ht="44.25" customHeight="1" thickBot="1">
      <c r="A14" s="533" t="s">
        <v>327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</row>
    <row r="15" spans="1:19" s="5" customFormat="1" ht="57" customHeight="1" thickBot="1">
      <c r="A15" s="534" t="s">
        <v>59</v>
      </c>
      <c r="B15" s="530" t="s">
        <v>60</v>
      </c>
      <c r="C15" s="530" t="s">
        <v>61</v>
      </c>
      <c r="D15" s="530" t="s">
        <v>62</v>
      </c>
      <c r="E15" s="530" t="s">
        <v>63</v>
      </c>
      <c r="F15" s="525" t="s">
        <v>64</v>
      </c>
      <c r="G15" s="526"/>
      <c r="H15" s="15" t="s">
        <v>65</v>
      </c>
      <c r="I15" s="288" t="s">
        <v>66</v>
      </c>
      <c r="J15" s="527" t="s">
        <v>71</v>
      </c>
      <c r="K15" s="526" t="s">
        <v>67</v>
      </c>
      <c r="L15" s="526"/>
      <c r="M15" s="526"/>
      <c r="N15" s="526"/>
      <c r="O15" s="526"/>
      <c r="P15" s="526"/>
      <c r="Q15" s="526"/>
      <c r="R15" s="529"/>
      <c r="S15" s="530" t="s">
        <v>96</v>
      </c>
    </row>
    <row r="16" spans="1:19" s="5" customFormat="1" ht="19.5" customHeight="1" thickBot="1">
      <c r="A16" s="535"/>
      <c r="B16" s="527"/>
      <c r="C16" s="527"/>
      <c r="D16" s="527"/>
      <c r="E16" s="527"/>
      <c r="F16" s="530" t="s">
        <v>68</v>
      </c>
      <c r="G16" s="530" t="s">
        <v>69</v>
      </c>
      <c r="H16" s="16" t="s">
        <v>200</v>
      </c>
      <c r="I16" s="530" t="s">
        <v>70</v>
      </c>
      <c r="J16" s="528"/>
      <c r="K16" s="525" t="s">
        <v>47</v>
      </c>
      <c r="L16" s="529"/>
      <c r="M16" s="525" t="s">
        <v>72</v>
      </c>
      <c r="N16" s="529"/>
      <c r="O16" s="525" t="s">
        <v>48</v>
      </c>
      <c r="P16" s="529"/>
      <c r="Q16" s="537" t="s">
        <v>49</v>
      </c>
      <c r="R16" s="538"/>
      <c r="S16" s="527"/>
    </row>
    <row r="17" spans="1:19" s="5" customFormat="1" ht="38.25" thickBot="1">
      <c r="A17" s="536"/>
      <c r="B17" s="528"/>
      <c r="C17" s="528"/>
      <c r="D17" s="528"/>
      <c r="E17" s="528"/>
      <c r="F17" s="528"/>
      <c r="G17" s="528"/>
      <c r="H17" s="17" t="s">
        <v>289</v>
      </c>
      <c r="I17" s="528"/>
      <c r="J17" s="278">
        <f>L18+N18+P18+R18</f>
        <v>1667.8</v>
      </c>
      <c r="K17" s="272" t="s">
        <v>73</v>
      </c>
      <c r="L17" s="272" t="s">
        <v>71</v>
      </c>
      <c r="M17" s="272" t="s">
        <v>73</v>
      </c>
      <c r="N17" s="272" t="s">
        <v>71</v>
      </c>
      <c r="O17" s="272" t="s">
        <v>73</v>
      </c>
      <c r="P17" s="272" t="s">
        <v>71</v>
      </c>
      <c r="Q17" s="272" t="s">
        <v>73</v>
      </c>
      <c r="R17" s="272" t="s">
        <v>71</v>
      </c>
      <c r="S17" s="528"/>
    </row>
    <row r="18" spans="1:19" s="5" customFormat="1" ht="48" customHeight="1" thickBot="1">
      <c r="A18" s="363">
        <v>1</v>
      </c>
      <c r="B18" s="273" t="s">
        <v>265</v>
      </c>
      <c r="C18" s="274" t="s">
        <v>128</v>
      </c>
      <c r="D18" s="274">
        <v>1</v>
      </c>
      <c r="E18" s="275">
        <v>120</v>
      </c>
      <c r="F18" s="274">
        <v>280</v>
      </c>
      <c r="G18" s="274" t="s">
        <v>74</v>
      </c>
      <c r="H18" s="276">
        <v>38130</v>
      </c>
      <c r="I18" s="277">
        <f>K18+M18+O18+Q18</f>
        <v>263.75</v>
      </c>
      <c r="J18" s="278">
        <f>L18+N18+P18+R18</f>
        <v>1667.8</v>
      </c>
      <c r="K18" s="279">
        <v>64</v>
      </c>
      <c r="L18" s="279">
        <v>547.8</v>
      </c>
      <c r="M18" s="280">
        <v>99.25</v>
      </c>
      <c r="N18" s="279">
        <v>679.7</v>
      </c>
      <c r="O18" s="280">
        <v>47.75</v>
      </c>
      <c r="P18" s="279">
        <v>175</v>
      </c>
      <c r="Q18" s="280">
        <v>52.75</v>
      </c>
      <c r="R18" s="279">
        <v>265.3</v>
      </c>
      <c r="S18" s="274">
        <v>15.5</v>
      </c>
    </row>
    <row r="19" spans="1:19" s="5" customFormat="1" ht="31.5" customHeight="1" thickBot="1">
      <c r="A19" s="281"/>
      <c r="B19" s="282" t="s">
        <v>292</v>
      </c>
      <c r="C19" s="281"/>
      <c r="D19" s="273">
        <f>SUM(D18:D18)</f>
        <v>1</v>
      </c>
      <c r="E19" s="283">
        <f>SUM(E18:E18)</f>
        <v>120</v>
      </c>
      <c r="F19" s="523">
        <f>F18</f>
        <v>280</v>
      </c>
      <c r="G19" s="524"/>
      <c r="H19" s="284">
        <f>SUM(H18:H18)</f>
        <v>38130</v>
      </c>
      <c r="I19" s="320">
        <f>SUM(I18:I18)</f>
        <v>263.75</v>
      </c>
      <c r="J19" s="286">
        <f>SUM(J18:J18)</f>
        <v>1667.8</v>
      </c>
      <c r="K19" s="290">
        <f>SUM(K18:K18)</f>
        <v>64</v>
      </c>
      <c r="L19" s="287">
        <f>L18</f>
        <v>547.8</v>
      </c>
      <c r="M19" s="285">
        <f aca="true" t="shared" si="0" ref="M19:R19">M18</f>
        <v>99.25</v>
      </c>
      <c r="N19" s="287">
        <f t="shared" si="0"/>
        <v>679.7</v>
      </c>
      <c r="O19" s="285">
        <f t="shared" si="0"/>
        <v>47.75</v>
      </c>
      <c r="P19" s="287">
        <f t="shared" si="0"/>
        <v>175</v>
      </c>
      <c r="Q19" s="285">
        <f t="shared" si="0"/>
        <v>52.75</v>
      </c>
      <c r="R19" s="287">
        <f t="shared" si="0"/>
        <v>265.3</v>
      </c>
      <c r="S19" s="273">
        <f>SUM(S18:S18)</f>
        <v>15.5</v>
      </c>
    </row>
    <row r="20" ht="18.75">
      <c r="A20" s="18"/>
    </row>
    <row r="21" ht="18.75">
      <c r="A21" s="18"/>
    </row>
  </sheetData>
  <sheetProtection/>
  <mergeCells count="33">
    <mergeCell ref="K5:S5"/>
    <mergeCell ref="B2:E2"/>
    <mergeCell ref="L2:R2"/>
    <mergeCell ref="B3:E3"/>
    <mergeCell ref="L3:S3"/>
    <mergeCell ref="B4:E4"/>
    <mergeCell ref="L4:S4"/>
    <mergeCell ref="J7:M7"/>
    <mergeCell ref="N7:O7"/>
    <mergeCell ref="P7:S7"/>
    <mergeCell ref="H9:J9"/>
    <mergeCell ref="A12:S12"/>
    <mergeCell ref="N8:O8"/>
    <mergeCell ref="A13:S13"/>
    <mergeCell ref="F7:I7"/>
    <mergeCell ref="A14:S14"/>
    <mergeCell ref="A15:A17"/>
    <mergeCell ref="B15:B17"/>
    <mergeCell ref="C15:C17"/>
    <mergeCell ref="Q16:R16"/>
    <mergeCell ref="D15:D17"/>
    <mergeCell ref="E15:E17"/>
    <mergeCell ref="O16:P16"/>
    <mergeCell ref="F19:G19"/>
    <mergeCell ref="F15:G15"/>
    <mergeCell ref="J15:J16"/>
    <mergeCell ref="K15:R15"/>
    <mergeCell ref="S15:S17"/>
    <mergeCell ref="F16:F17"/>
    <mergeCell ref="G16:G17"/>
    <mergeCell ref="I16:I17"/>
    <mergeCell ref="K16:L16"/>
    <mergeCell ref="M16:N16"/>
  </mergeCells>
  <printOptions/>
  <pageMargins left="0.25" right="0.14" top="0.16" bottom="0.18" header="0.15" footer="0.1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2022-09-28T06:45:41Z</cp:lastPrinted>
  <dcterms:created xsi:type="dcterms:W3CDTF">2007-05-25T06:15:19Z</dcterms:created>
  <dcterms:modified xsi:type="dcterms:W3CDTF">2022-10-05T09:01:48Z</dcterms:modified>
  <cp:category/>
  <cp:version/>
  <cp:contentType/>
  <cp:contentStatus/>
</cp:coreProperties>
</file>