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420" tabRatio="792" activeTab="0"/>
  </bookViews>
  <sheets>
    <sheet name="Титул. (інфекція) (січень2022)" sheetId="1" r:id="rId1"/>
    <sheet name="ЦРЛ" sheetId="2" r:id="rId2"/>
    <sheet name="Зубопротезна" sheetId="3" r:id="rId3"/>
    <sheet name="Лист1" sheetId="4" r:id="rId4"/>
  </sheets>
  <definedNames>
    <definedName name="_xlnm.Print_Area" localSheetId="2">'Зубопротезна'!$A$1:$R$19</definedName>
    <definedName name="_xlnm.Print_Area" localSheetId="3">'Лист1'!$A$1:$N$32</definedName>
    <definedName name="_xlnm.Print_Area" localSheetId="0">'Титул. (інфекція) (січень2022)'!$A$1:$S$24</definedName>
    <definedName name="_xlnm.Print_Area" localSheetId="1">'ЦРЛ'!$A$2:$R$521</definedName>
  </definedNames>
  <calcPr fullCalcOnLoad="1"/>
</workbook>
</file>

<file path=xl/comments2.xml><?xml version="1.0" encoding="utf-8"?>
<comments xmlns="http://schemas.openxmlformats.org/spreadsheetml/2006/main">
  <authors>
    <author>Віктор</author>
    <author>Ekonomist</author>
    <author>TD</author>
  </authors>
  <commentList>
    <comment ref="N212" authorId="0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N189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90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91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92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93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367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369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414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  <comment ref="N368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C37" authorId="1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C29" authorId="1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241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44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</commentList>
</comments>
</file>

<file path=xl/sharedStrings.xml><?xml version="1.0" encoding="utf-8"?>
<sst xmlns="http://schemas.openxmlformats.org/spreadsheetml/2006/main" count="522" uniqueCount="379">
  <si>
    <t>Начальник відділу кадрів</t>
  </si>
  <si>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</si>
  <si>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</si>
  <si>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</si>
  <si>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</si>
  <si>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</si>
  <si>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</si>
  <si>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</si>
  <si>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</si>
  <si>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</si>
  <si>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</si>
  <si>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</si>
  <si>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</si>
  <si>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Інженер з охорони праці</t>
  </si>
  <si>
    <t>Архіваріус</t>
  </si>
  <si>
    <t>Слюсар водопостачання ІІІ розряду</t>
  </si>
  <si>
    <t>Ліфтер</t>
  </si>
  <si>
    <t>Майстер по ремонту мед. обладнання</t>
  </si>
  <si>
    <t>Разом:</t>
  </si>
  <si>
    <t xml:space="preserve">   ПРАЛЬНЯ</t>
  </si>
  <si>
    <t>Кухар ІV розряду</t>
  </si>
  <si>
    <t>Кухонний робітник</t>
  </si>
  <si>
    <t>Механік</t>
  </si>
  <si>
    <t xml:space="preserve">          </t>
  </si>
  <si>
    <t>РАЗОМ  ПО РОЗДІЛУ  ІІ:</t>
  </si>
  <si>
    <t>ВСЬОГО ПО РОЗДІЛУ І-ІІ</t>
  </si>
  <si>
    <t>Поса дов. оклад</t>
  </si>
  <si>
    <t>Головний бухгалтер</t>
  </si>
  <si>
    <t xml:space="preserve">Економіст </t>
  </si>
  <si>
    <t xml:space="preserve">              </t>
  </si>
  <si>
    <t>Начальник ВК</t>
  </si>
  <si>
    <t xml:space="preserve">Розряд </t>
  </si>
  <si>
    <t>Дезинфектор</t>
  </si>
  <si>
    <t>Молодша медична сестра стерилізації</t>
  </si>
  <si>
    <t xml:space="preserve">Жіноча консультація                    </t>
  </si>
  <si>
    <t xml:space="preserve">           </t>
  </si>
  <si>
    <t>Сестра господарка поліклініки</t>
  </si>
  <si>
    <t>Молодша медсестра – прибиральниці поліклініки</t>
  </si>
  <si>
    <t xml:space="preserve">        </t>
  </si>
  <si>
    <t>СТАЦІОНАР</t>
  </si>
  <si>
    <t>Сестра господарка</t>
  </si>
  <si>
    <t>Старша сестра медична дитячого стаціонару Вища  кат.</t>
  </si>
  <si>
    <t>Сестра-господарка</t>
  </si>
  <si>
    <t>Фахівці</t>
  </si>
  <si>
    <t xml:space="preserve">                       </t>
  </si>
  <si>
    <t>Фізіотерапевтичний кабінет</t>
  </si>
  <si>
    <t>Молодша медсестра</t>
  </si>
  <si>
    <t>Операційний блок</t>
  </si>
  <si>
    <t>Молодша медсестра – приб. операційна</t>
  </si>
  <si>
    <t>Молодша медсестра – приб.</t>
  </si>
  <si>
    <t>Завідувач реанімаційним відділенням лікар-анестезіолог  І кат.</t>
  </si>
  <si>
    <t>Молодші:</t>
  </si>
  <si>
    <t xml:space="preserve">     </t>
  </si>
  <si>
    <t>Молодша медсестра- приб.</t>
  </si>
  <si>
    <t>Лікарі</t>
  </si>
  <si>
    <t>Інші</t>
  </si>
  <si>
    <t>Молодші</t>
  </si>
  <si>
    <t>лікарі</t>
  </si>
  <si>
    <t>молодші</t>
  </si>
  <si>
    <t>інші</t>
  </si>
  <si>
    <t>ХАРЧОБЛОК</t>
  </si>
  <si>
    <t xml:space="preserve">             </t>
  </si>
  <si>
    <t>Середні:</t>
  </si>
  <si>
    <t>Інші:</t>
  </si>
  <si>
    <t xml:space="preserve">Фахівці           </t>
  </si>
  <si>
    <t>Лікарі:</t>
  </si>
  <si>
    <t>Фахівці:</t>
  </si>
  <si>
    <t>Приймальне відділення</t>
  </si>
  <si>
    <t>Інших:</t>
  </si>
  <si>
    <t xml:space="preserve">Фахівці з базою та 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</si>
  <si>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</si>
  <si>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</si>
  <si>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</si>
  <si>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</si>
  <si>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</si>
  <si>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</si>
  <si>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</si>
  <si>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</si>
  <si>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</si>
  <si>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</si>
  <si>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</si>
  <si>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</si>
  <si>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</si>
  <si>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</si>
  <si>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</si>
  <si>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-</t>
  </si>
  <si>
    <t>Титульний список</t>
  </si>
  <si>
    <t xml:space="preserve">Зав. Зубопротезною лаб. Лікар ортопед- стоматолог </t>
  </si>
  <si>
    <t>Лікар ортопед стоматолог</t>
  </si>
  <si>
    <t>Зубний технік</t>
  </si>
  <si>
    <t xml:space="preserve">Молодша медсестра – прибиральниця </t>
  </si>
  <si>
    <t>Кладовщик</t>
  </si>
  <si>
    <t>ВСЬГО</t>
  </si>
  <si>
    <t xml:space="preserve"> </t>
  </si>
  <si>
    <t>Молодша медична сестра -буфетниця</t>
  </si>
  <si>
    <t>Молодша медична сестра - буфетниця</t>
  </si>
  <si>
    <t>Молодша медична сестра- буфетчиця</t>
  </si>
  <si>
    <t>До штатного розпису</t>
  </si>
  <si>
    <t>Економіст</t>
  </si>
  <si>
    <t>Поліклініка</t>
  </si>
  <si>
    <t>Молодший персонал</t>
  </si>
  <si>
    <t>Загальнолікарняний персонал</t>
  </si>
  <si>
    <t xml:space="preserve">                                                    Допоміжні лікувально-діагностичні підрозділи та аптека</t>
  </si>
  <si>
    <t xml:space="preserve">               Рентгенівське відділення</t>
  </si>
  <si>
    <t>Охоронець</t>
  </si>
  <si>
    <t>Інженер - енергетик</t>
  </si>
  <si>
    <t>Машиніст із прання та ремонту спецодягу</t>
  </si>
  <si>
    <t>Завідуючий складом</t>
  </si>
  <si>
    <t>Прибиральниця службових приміщень</t>
  </si>
  <si>
    <t>Вихователь</t>
  </si>
  <si>
    <t>Молодша медсестра - аптеки</t>
  </si>
  <si>
    <t>Молодша медсестра – приб. дитячого стац. (палатна)</t>
  </si>
  <si>
    <t>Сестра медична стаціонару (палатна) Вища кат.</t>
  </si>
  <si>
    <t>Молодша медсестра – приб. Стаціонару (палатна)</t>
  </si>
  <si>
    <t>Молодша медсестра  - приб. Стаціонару (палатна)</t>
  </si>
  <si>
    <t>Молодша медсестра – приб.  Стаціонару (палатна)</t>
  </si>
  <si>
    <t>Сестра медична дитячого стаціонару (палатна)Вища кат.</t>
  </si>
  <si>
    <t>Відділення анестезіології з ліжками для інтенсивної терапії 6 ліжок</t>
  </si>
  <si>
    <t>В т. ч. Спеціалісти немедики</t>
  </si>
  <si>
    <t>За стаж роботи</t>
  </si>
  <si>
    <t>Молодша медсестра – приб. стаціонару (палатна)</t>
  </si>
  <si>
    <t>Молодша медична сестра-буфетниця</t>
  </si>
  <si>
    <t xml:space="preserve">Сестра - господарка </t>
  </si>
  <si>
    <t>РАЗОМ  ПО РОЗДІЛУ  І:</t>
  </si>
  <si>
    <t>Секретар</t>
  </si>
  <si>
    <t>Сестра медична (палатна) Вища кат.</t>
  </si>
  <si>
    <t xml:space="preserve">  </t>
  </si>
  <si>
    <t>Підвищення посадового окладу (грн.)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</si>
  <si>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</si>
  <si>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</si>
  <si>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</si>
  <si>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</si>
  <si>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</si>
  <si>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</si>
  <si>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</si>
  <si>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Сестра медична з фізіотерапії I кат.</t>
  </si>
  <si>
    <t>Бухгалтерія</t>
  </si>
  <si>
    <t>Бухгалтер з обліку основних засобів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</si>
  <si>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</si>
  <si>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</si>
  <si>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</si>
  <si>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</si>
  <si>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Туберкульозний кабінет</t>
  </si>
  <si>
    <t xml:space="preserve"> Кабінет функціональної діагностики</t>
  </si>
  <si>
    <t>Левадко Л.Н.</t>
  </si>
  <si>
    <t>За сан. авт.</t>
  </si>
  <si>
    <t>оперативне втручанн.</t>
  </si>
  <si>
    <t>Відділення відновлюючого лікування</t>
  </si>
  <si>
    <t>Клініко-діагностична лабораторія</t>
  </si>
  <si>
    <t>Лікар-офтальмолог б/к</t>
  </si>
  <si>
    <t xml:space="preserve">Лікар –інфекціоніст дитячий КІЗ кабінету  б/к  </t>
  </si>
  <si>
    <t>Лікар - інтерн з офтальмології</t>
  </si>
  <si>
    <t>Лікар  - уролог дитячий б/к</t>
  </si>
  <si>
    <t>Сестра медична маніпуляційна б/кат</t>
  </si>
  <si>
    <t>Програміст ЕОМ І кат</t>
  </si>
  <si>
    <t>м.Тетіїв</t>
  </si>
  <si>
    <t>Столяр</t>
  </si>
  <si>
    <t xml:space="preserve">Економіст з праці </t>
  </si>
  <si>
    <t>Лікар – ортопед-травматолог дитячий б/к</t>
  </si>
  <si>
    <t>Лікар з ультразвукової діаг ностики (жін.консул.)Ікат.</t>
  </si>
  <si>
    <t>Сестра медична полік лініки (травматологічного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</si>
  <si>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</si>
  <si>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</si>
  <si>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Лікар-фтізіатр б/кат.</t>
  </si>
  <si>
    <t>Старша сестра медична стаціонару Вища кат.</t>
  </si>
  <si>
    <t>Лікар – терапевт Вища кат.</t>
  </si>
  <si>
    <t>Сестра медична з фізіотерапії Вища кат.</t>
  </si>
  <si>
    <t>Лікар хірург (ург.)  І кат.</t>
  </si>
  <si>
    <t>Лікар - лаборант Вища кат.</t>
  </si>
  <si>
    <t>Лаборант клініко-діагност. лабораторії Вища кат.</t>
  </si>
  <si>
    <t>Лікар рентгенолог для флюорографічного обстеження б/кат.</t>
  </si>
  <si>
    <t>Рентгенлаборант Вища кат.</t>
  </si>
  <si>
    <t>Лікар анестезіолог І кат.</t>
  </si>
  <si>
    <t>Старша сестра медична стаціонару Вища  кат.</t>
  </si>
  <si>
    <t>Сестра медична з анестезіології Вища кат.</t>
  </si>
  <si>
    <t>Лаборант клініко-діагности чної лабораторії стаціонару Вища кат.</t>
  </si>
  <si>
    <t>Старша сестра медична операційна Вища кат.</t>
  </si>
  <si>
    <t>Сестра медична операційна Вища кат.</t>
  </si>
  <si>
    <t>Медичний статистик Вища кат.</t>
  </si>
  <si>
    <t>Сестра медична пункту зберігання крові Вища кат.</t>
  </si>
  <si>
    <t>Лікар-онколог б/кат.</t>
  </si>
  <si>
    <t>Лікар-отоларинголог Вища кат.</t>
  </si>
  <si>
    <t>Лікар отоларинтолог дитячий б/кат.</t>
  </si>
  <si>
    <t>Лікар-ендокринолог Вища кат.</t>
  </si>
  <si>
    <t>Лікар-нарколог дільничний І кат.</t>
  </si>
  <si>
    <t>Лікар- невропатолог Вища кат.</t>
  </si>
  <si>
    <t>Лікар з ультразвукової діагностики І кат.</t>
  </si>
  <si>
    <t>Сестра медична полікліні ки (дитячого фтізіатра) туб кабінету Вища кат.</t>
  </si>
  <si>
    <t>Старша сестра медична Вища кат.</t>
  </si>
  <si>
    <t>Сестра медична Вища кат.</t>
  </si>
  <si>
    <t>Рентгенлаборант ІІ кат.</t>
  </si>
  <si>
    <t>Сестра медична полік лініки (онколога)Вища кат.</t>
  </si>
  <si>
    <t>Сестра медична полік лініки (офтальмоло гічного кабінету)Вища кат.</t>
  </si>
  <si>
    <t>Сестра медична з функціональної діагностики Вища кат.</t>
  </si>
  <si>
    <t>Лікар- інфекціоніст кабінету"Довіра" б/кат.</t>
  </si>
  <si>
    <t>Лікар терапевт (жіночої консультації) Вища кат.</t>
  </si>
  <si>
    <t>Лікар патологоанатом  б/кат</t>
  </si>
  <si>
    <t>Сестра медична дитячого стаціонару (палатна) І кат.</t>
  </si>
  <si>
    <t>Сестра медична дитячого стаціонару (палатна) б/к.</t>
  </si>
  <si>
    <t>Сестра медична з масажу б/к.</t>
  </si>
  <si>
    <t>Інструктор з фізкультури лікувальної б/к.</t>
  </si>
  <si>
    <t>Сестра медична полік лініки (неврологічного кабінету) Вища кат.</t>
  </si>
  <si>
    <t>Завідувач хірургічним відділенням лікар-хірург І кат.</t>
  </si>
  <si>
    <t xml:space="preserve">Оператор ЕОМ І кат. </t>
  </si>
  <si>
    <t>Кухар ІІІ розряду</t>
  </si>
  <si>
    <t>Фахівець з питань цивільного захисту</t>
  </si>
  <si>
    <t>за дезинфікувальні засоби 10%</t>
  </si>
  <si>
    <t xml:space="preserve">Молодші        </t>
  </si>
  <si>
    <t xml:space="preserve">Лікарі             </t>
  </si>
  <si>
    <t>Лікар з лікувальної фізкультури б/кат.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</si>
  <si>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</si>
  <si>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</si>
  <si>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>Завідув. І  старшинство</t>
  </si>
  <si>
    <t>За полік лініку 15%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</si>
  <si>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</si>
  <si>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r>
      <t xml:space="preserve">Інші  </t>
    </r>
    <r>
      <rPr>
        <sz val="30"/>
        <rFont val="Times New Roman"/>
        <family val="1"/>
      </rPr>
      <t xml:space="preserve">               </t>
    </r>
  </si>
  <si>
    <r>
      <t>Г</t>
    </r>
    <r>
      <rPr>
        <b/>
        <u val="single"/>
        <sz val="30"/>
        <rFont val="Times New Roman"/>
        <family val="1"/>
      </rPr>
      <t>араж</t>
    </r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</si>
  <si>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</si>
  <si>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</si>
  <si>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</si>
  <si>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</si>
  <si>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Бухгалтер з фінансового обліку</t>
  </si>
  <si>
    <t>Лікар-ендоскопіст б/кат.</t>
  </si>
  <si>
    <t>Лікар-епідеміолог Вища кат.</t>
  </si>
  <si>
    <t>Дитяче відділення на 15 ліжок</t>
  </si>
  <si>
    <t>Неврологічне відділення на 15 ліжок</t>
  </si>
  <si>
    <t xml:space="preserve">                                                                              Терапевтичне відділення на 40 ліжок</t>
  </si>
  <si>
    <t>Лікар-ортопед-травматолог І кат.</t>
  </si>
  <si>
    <t>Лікар- дерматовенеролог  б/кат.</t>
  </si>
  <si>
    <t>Сестра медична полік лініки (хірургічного кабінету)Вища</t>
  </si>
  <si>
    <t>Лікар анестезіолог Вища</t>
  </si>
  <si>
    <t>Разом :</t>
  </si>
  <si>
    <t>Категорія</t>
  </si>
  <si>
    <t>Завідувач неврологічним  відділенням Вища кат.</t>
  </si>
  <si>
    <t>Лікар- психіатр  ІІ кат.</t>
  </si>
  <si>
    <t>Сестра медична полік лініки (уролога) ІІ кат.</t>
  </si>
  <si>
    <t>з 01.01.</t>
  </si>
  <si>
    <t>Електрогазозварник ІІІ розряд</t>
  </si>
  <si>
    <t>Лікар-кардіолог Вища кат.</t>
  </si>
  <si>
    <t>Сестра медична кабінету "Довіра"Вища кат.</t>
  </si>
  <si>
    <t>Сестра медична операційна б/кат.</t>
  </si>
  <si>
    <t>Лікар-хірург дитячий б/к</t>
  </si>
  <si>
    <t>Лікар інтерн з акушерства</t>
  </si>
  <si>
    <t>Сестра медична  поліклініки (кардіолога) б/кат.</t>
  </si>
  <si>
    <t>Сестра медична стаціонару (палатна) І кат.</t>
  </si>
  <si>
    <t>Сестра медична стаціонару (палатна) б/кат.</t>
  </si>
  <si>
    <t>Сестра медична з фізіотерапії б/ кат.</t>
  </si>
  <si>
    <t>Лікар хірург (ург.)  Вища кат.</t>
  </si>
  <si>
    <t>Рентгенлаборант б/кат.</t>
  </si>
  <si>
    <t>Сестра медична полікліні ки (ендоскопічного к-ту)б/ кат.</t>
  </si>
  <si>
    <t>Сестра медична полік лініки з стоматології І кат.</t>
  </si>
  <si>
    <t xml:space="preserve">Лікар-фтізіатр дитячий </t>
  </si>
  <si>
    <t>Сестра медична процедурна  стаціонару Вища кат.</t>
  </si>
  <si>
    <t>Сестра медична процедурна стаціонару Вища кат.</t>
  </si>
  <si>
    <t>Завідувач господарством</t>
  </si>
  <si>
    <t>Підсобний працівник</t>
  </si>
  <si>
    <t>Касир</t>
  </si>
  <si>
    <t>ЗАТВЕРДЖУЮ</t>
  </si>
  <si>
    <t>з місячним фондом заробітної плати:</t>
  </si>
  <si>
    <t>сорок сім тисяч шістсот шістдесят одна грн. 42 коп</t>
  </si>
  <si>
    <t>Головний лікар КП "КНП Тетіївська ЦРЛ"</t>
  </si>
  <si>
    <t xml:space="preserve">                                                 А. С. Крохмальний</t>
  </si>
  <si>
    <t>" 01 " січня 2020 року</t>
  </si>
  <si>
    <t>ШТАТНИЙ РОЗКЛАД</t>
  </si>
  <si>
    <t>Відділу платних послуг при  КП "КНП Тетіївська ЦРЛ"</t>
  </si>
  <si>
    <t>з 01.01.2020 року</t>
  </si>
  <si>
    <t>Слюсар-сантехнік</t>
  </si>
  <si>
    <t>Сестра медична з дієтичного харчування   Вища кат.</t>
  </si>
  <si>
    <t>штат в кількості 11,0 штатних одиниць</t>
  </si>
  <si>
    <t>"ЗАТВЕРДЖУЮ"</t>
  </si>
  <si>
    <t>Сестра медична жіночої консультації Вища кат.</t>
  </si>
  <si>
    <t>Лікар уролог</t>
  </si>
  <si>
    <t>Лікар інтерн офтальмологія</t>
  </si>
  <si>
    <t>Лікар інтерн з хірургії</t>
  </si>
  <si>
    <t>Юристконсульт</t>
  </si>
  <si>
    <t>Фахівець з публічних закупівель</t>
  </si>
  <si>
    <t>Сестра медична кабінету профоглядів</t>
  </si>
  <si>
    <t>Лікар невролог дитячий</t>
  </si>
  <si>
    <t xml:space="preserve">Лікар інтерн </t>
  </si>
  <si>
    <t>Сестра медична полікліні ки (психіатра) Вища кат.</t>
  </si>
  <si>
    <t>Лікар – стоматолог  І кат.</t>
  </si>
  <si>
    <t>Завідуючий жіночою консультацією І кат.</t>
  </si>
  <si>
    <t>Лікар акушер-гінеколог І кат.</t>
  </si>
  <si>
    <t xml:space="preserve">Сестра медична полік лініки (фтізіатра) туб кабю Вища </t>
  </si>
  <si>
    <t xml:space="preserve">Інфекційне відділення на 9 ліжок </t>
  </si>
  <si>
    <t xml:space="preserve">Лікар-педіатр (ургентний) Вища </t>
  </si>
  <si>
    <t>Завідувач інфекційним відділенням лікар-інфекціоніст ІІ</t>
  </si>
  <si>
    <t xml:space="preserve">Сестра медична з масажу Вища </t>
  </si>
  <si>
    <t xml:space="preserve">Завідувач терапевтичним відділенням лікар-терапевт Вища </t>
  </si>
  <si>
    <t>Сестра медична процедурна б/к</t>
  </si>
  <si>
    <t xml:space="preserve">Завідувач клініко-діагностичною лабораторією Вища </t>
  </si>
  <si>
    <t>Лікар з функціональної діагностики Вища кат.</t>
  </si>
  <si>
    <t>Завідувач рентгенологічним відділенням І кат.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</si>
  <si>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</si>
  <si>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</si>
  <si>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</si>
  <si>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</si>
  <si>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</si>
  <si>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</si>
  <si>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</si>
  <si>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 xml:space="preserve">Фахівці:             </t>
  </si>
  <si>
    <r>
      <t>Молодші:</t>
    </r>
    <r>
      <rPr>
        <sz val="30"/>
        <rFont val="Times New Roman"/>
        <family val="1"/>
      </rPr>
      <t xml:space="preserve">         </t>
    </r>
  </si>
  <si>
    <t>неповною вищою мед. Освітою:</t>
  </si>
  <si>
    <t xml:space="preserve">Лікарі :             </t>
  </si>
  <si>
    <t xml:space="preserve">Інші :                </t>
  </si>
  <si>
    <t>Сестра медична стерилізації І кат.</t>
  </si>
  <si>
    <t xml:space="preserve">   </t>
  </si>
  <si>
    <t>Сестра медична  стаціонару (палатна) Вища</t>
  </si>
  <si>
    <t xml:space="preserve">Сестра медична  стаціонару (палатна) Вища </t>
  </si>
  <si>
    <t>Головна медична сестра Вища</t>
  </si>
  <si>
    <t xml:space="preserve">Лікар методист Вища </t>
  </si>
  <si>
    <t>Лікар- хірург І кат.</t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</si>
  <si>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</si>
  <si>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</si>
  <si>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</si>
  <si>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</si>
  <si>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Акушерка жіночої консультації Вища кат.</t>
  </si>
  <si>
    <t>Сестра медична полікліні ки (отоларингологічного кабінету)б/кат.</t>
  </si>
  <si>
    <t>Сестра медична реєстратор І кат.</t>
  </si>
  <si>
    <t>Середні</t>
  </si>
  <si>
    <t>Сестра медична (палатна) б/кат.</t>
  </si>
  <si>
    <t>Молодша медсестра фізіотерапевтичного каінету</t>
  </si>
  <si>
    <t>Сестра медична І кат.</t>
  </si>
  <si>
    <t>підпис</t>
  </si>
  <si>
    <t>М.П.</t>
  </si>
  <si>
    <t>(число, місяць, рік)</t>
  </si>
  <si>
    <t>"ПОГОДЖЕНО"</t>
  </si>
  <si>
    <t>Тетіївська ЦЛ</t>
  </si>
  <si>
    <t>Старша сестра мед стаціонару б/кат.</t>
  </si>
  <si>
    <t>Сестра медична(процедурна) б/кат.</t>
  </si>
  <si>
    <t>Лікар профпатолог б/кат.</t>
  </si>
  <si>
    <t>Лікар терапевт Вища</t>
  </si>
  <si>
    <t xml:space="preserve">Інспектор по військовому обліку </t>
  </si>
  <si>
    <t>Лікар рентгенолог І кат.</t>
  </si>
  <si>
    <t>Лікар-ортопед- травматолог б/кат.</t>
  </si>
  <si>
    <t>Лікар хірург (ург.)  б/кат.</t>
  </si>
  <si>
    <t>Лікар фізіотерапевт б/кат.</t>
  </si>
  <si>
    <t>Лікар-педіатр (ургентний) б/кат.</t>
  </si>
  <si>
    <t>Лаборант клініко-діагност. лабораторії Ікат.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</si>
  <si>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</si>
  <si>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Медичний директор Вища кат.</t>
  </si>
  <si>
    <t>Провізор І кат.</t>
  </si>
  <si>
    <t>Сестра медична поліклініки (лікаря - профпатолога) Вища</t>
  </si>
  <si>
    <t>Сестра медична поліклініки (лікаря - терапевта) Вища</t>
  </si>
  <si>
    <t>Фасувальник медичних виробів</t>
  </si>
  <si>
    <t xml:space="preserve">Відділення екстренної медичної допомоги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</si>
  <si>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</si>
  <si>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</si>
  <si>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</si>
  <si>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</si>
  <si>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</si>
  <si>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</si>
  <si>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</si>
  <si>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>2022 рік</t>
  </si>
  <si>
    <t>Лікар– інфекціоніст  КІЗ кабінету . ІІ кат.</t>
  </si>
  <si>
    <t xml:space="preserve">Директор  </t>
  </si>
  <si>
    <t>Всього:</t>
  </si>
  <si>
    <t>Завідувач дитячим відділенням лікар-педіатр ІІ кат.</t>
  </si>
  <si>
    <t xml:space="preserve">Сестра медична процедурна Вища кат. </t>
  </si>
  <si>
    <t>Відділення патанатомії</t>
  </si>
  <si>
    <t>ВСЬОГО: ПО КНП "Тетіївська ЦЛ "</t>
  </si>
  <si>
    <t>Агент постачання кисню</t>
  </si>
  <si>
    <t xml:space="preserve">Агент постачання </t>
  </si>
  <si>
    <t>Сестра медична(перев'язочна) б/кат.</t>
  </si>
  <si>
    <t xml:space="preserve">Сестра медична  лікарського кабінету Вища </t>
  </si>
  <si>
    <t>Молодша медична сестра (перев'язочна)</t>
  </si>
  <si>
    <t>За санітар ний автомобіль</t>
  </si>
  <si>
    <t>Шкідливі- сть</t>
  </si>
  <si>
    <t>Хірургічне відділення на 25 ліжок</t>
  </si>
  <si>
    <t>Заступник директора з поліклінічної роботи</t>
  </si>
  <si>
    <t>Поліщук Т.Д.</t>
  </si>
  <si>
    <t>Заступник директора з адміністративного управління</t>
  </si>
  <si>
    <t>Директор</t>
  </si>
  <si>
    <t>Дмитро ПОТІЄНКО</t>
  </si>
  <si>
    <t>штат в кількості 284,25 штатних одиниць</t>
  </si>
  <si>
    <t>один мільйон дев'ятсот тридцять дві тисячі двісті вісімдесят одна гривня, 11 коп</t>
  </si>
  <si>
    <r>
      <t xml:space="preserve">Комунального некомерційного підприємства "Тетіївська центральна лікарня" Тетіївської міської ради                                                                       з    </t>
    </r>
    <r>
      <rPr>
        <b/>
        <sz val="17"/>
        <color indexed="8"/>
        <rFont val="Times New Roman"/>
        <family val="1"/>
      </rPr>
      <t>14.10</t>
    </r>
    <r>
      <rPr>
        <b/>
        <sz val="17"/>
        <rFont val="Times New Roman"/>
        <family val="1"/>
      </rPr>
      <t>.2022  року</t>
    </r>
  </si>
  <si>
    <t>Міський голова</t>
  </si>
  <si>
    <t>Богдан БАЛАГУРА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</si>
</sst>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#,##0.00_ ;\-#,##0.00\ "/>
    <numFmt numFmtId="224" formatCode="#,##0.0"/>
    <numFmt numFmtId="225" formatCode="#,##0.0&quot;₴&quot;"/>
  </numFmts>
  <fonts count="101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7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u val="single"/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u val="single"/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color indexed="10"/>
      <name val="Arial Cyr"/>
      <family val="0"/>
    </font>
    <font>
      <b/>
      <sz val="30"/>
      <name val="Arial Cyr"/>
      <family val="0"/>
    </font>
    <font>
      <b/>
      <i/>
      <sz val="30"/>
      <name val="Arial Cyr"/>
      <family val="0"/>
    </font>
    <font>
      <i/>
      <sz val="30"/>
      <name val="Arial Cyr"/>
      <family val="0"/>
    </font>
    <font>
      <sz val="30"/>
      <color indexed="10"/>
      <name val="Times New Roman"/>
      <family val="1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0"/>
    </font>
    <font>
      <sz val="38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6"/>
      <name val="Times New Roman"/>
      <family val="1"/>
    </font>
    <font>
      <u val="single"/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28"/>
      <name val="Times New Roman"/>
      <family val="1"/>
    </font>
    <font>
      <sz val="28"/>
      <name val="Times New Roman"/>
      <family val="1"/>
    </font>
    <font>
      <sz val="11"/>
      <name val="Arial Cyr"/>
      <family val="0"/>
    </font>
    <font>
      <b/>
      <u val="single"/>
      <sz val="30"/>
      <name val="Arial Cyr"/>
      <family val="0"/>
    </font>
    <font>
      <b/>
      <u val="single"/>
      <sz val="38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6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07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07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32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28" fillId="32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2" borderId="10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17" xfId="0" applyFont="1" applyBorder="1" applyAlignment="1">
      <alignment vertical="center"/>
    </xf>
    <xf numFmtId="207" fontId="27" fillId="32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4" fontId="27" fillId="32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0" fontId="28" fillId="0" borderId="16" xfId="0" applyFont="1" applyBorder="1" applyAlignment="1">
      <alignment vertical="center" wrapText="1"/>
    </xf>
    <xf numFmtId="4" fontId="28" fillId="32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4" fontId="28" fillId="0" borderId="16" xfId="0" applyNumberFormat="1" applyFont="1" applyBorder="1" applyAlignment="1">
      <alignment vertical="center" wrapText="1"/>
    </xf>
    <xf numFmtId="4" fontId="28" fillId="0" borderId="21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32" borderId="16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32" borderId="18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11" xfId="0" applyFont="1" applyBorder="1" applyAlignment="1">
      <alignment horizontal="right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8" fillId="32" borderId="18" xfId="0" applyFont="1" applyFill="1" applyBorder="1" applyAlignment="1">
      <alignment horizontal="center" vertical="center" wrapText="1"/>
    </xf>
    <xf numFmtId="2" fontId="27" fillId="32" borderId="18" xfId="0" applyNumberFormat="1" applyFont="1" applyFill="1" applyBorder="1" applyAlignment="1">
      <alignment horizontal="center" vertical="center" wrapText="1"/>
    </xf>
    <xf numFmtId="207" fontId="27" fillId="32" borderId="18" xfId="0" applyNumberFormat="1" applyFont="1" applyFill="1" applyBorder="1" applyAlignment="1">
      <alignment horizontal="center" vertical="center" wrapText="1"/>
    </xf>
    <xf numFmtId="2" fontId="28" fillId="32" borderId="18" xfId="0" applyNumberFormat="1" applyFont="1" applyFill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7" fillId="32" borderId="18" xfId="0" applyNumberFormat="1" applyFont="1" applyFill="1" applyBorder="1" applyAlignment="1">
      <alignment horizontal="center" vertical="center" wrapText="1"/>
    </xf>
    <xf numFmtId="4" fontId="28" fillId="32" borderId="16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4" fontId="28" fillId="0" borderId="16" xfId="0" applyNumberFormat="1" applyFont="1" applyFill="1" applyBorder="1" applyAlignment="1">
      <alignment vertical="center" wrapText="1"/>
    </xf>
    <xf numFmtId="2" fontId="28" fillId="0" borderId="16" xfId="0" applyNumberFormat="1" applyFont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2" fontId="28" fillId="0" borderId="16" xfId="0" applyNumberFormat="1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4" fontId="28" fillId="0" borderId="20" xfId="0" applyNumberFormat="1" applyFont="1" applyBorder="1" applyAlignment="1">
      <alignment vertical="center" wrapText="1"/>
    </xf>
    <xf numFmtId="4" fontId="28" fillId="0" borderId="20" xfId="0" applyNumberFormat="1" applyFont="1" applyFill="1" applyBorder="1" applyAlignment="1">
      <alignment vertical="center" wrapText="1"/>
    </xf>
    <xf numFmtId="2" fontId="28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vertical="center" wrapText="1"/>
    </xf>
    <xf numFmtId="2" fontId="28" fillId="0" borderId="10" xfId="0" applyNumberFormat="1" applyFont="1" applyBorder="1" applyAlignment="1">
      <alignment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 wrapText="1"/>
    </xf>
    <xf numFmtId="4" fontId="28" fillId="32" borderId="16" xfId="0" applyNumberFormat="1" applyFont="1" applyFill="1" applyBorder="1" applyAlignment="1">
      <alignment vertical="center" wrapText="1"/>
    </xf>
    <xf numFmtId="4" fontId="29" fillId="0" borderId="0" xfId="0" applyNumberFormat="1" applyFont="1" applyAlignment="1">
      <alignment vertical="center"/>
    </xf>
    <xf numFmtId="0" fontId="28" fillId="0" borderId="21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2" fontId="28" fillId="0" borderId="16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2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  <xf numFmtId="4" fontId="28" fillId="0" borderId="16" xfId="6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" fontId="33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2" fontId="27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4" fontId="28" fillId="0" borderId="0" xfId="0" applyNumberFormat="1" applyFont="1" applyAlignment="1">
      <alignment vertical="center"/>
    </xf>
    <xf numFmtId="207" fontId="27" fillId="0" borderId="0" xfId="0" applyNumberFormat="1" applyFont="1" applyFill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203" fontId="29" fillId="0" borderId="0" xfId="60" applyFont="1" applyAlignment="1">
      <alignment vertical="center"/>
    </xf>
    <xf numFmtId="2" fontId="28" fillId="32" borderId="16" xfId="0" applyNumberFormat="1" applyFont="1" applyFill="1" applyBorder="1" applyAlignment="1">
      <alignment horizontal="center" vertical="center" wrapText="1"/>
    </xf>
    <xf numFmtId="0" fontId="28" fillId="32" borderId="16" xfId="0" applyFont="1" applyFill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32" borderId="0" xfId="0" applyFont="1" applyFill="1" applyAlignment="1">
      <alignment vertical="center"/>
    </xf>
    <xf numFmtId="0" fontId="39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left" vertical="center"/>
    </xf>
    <xf numFmtId="224" fontId="27" fillId="0" borderId="0" xfId="0" applyNumberFormat="1" applyFont="1" applyAlignment="1">
      <alignment horizontal="center" vertical="center"/>
    </xf>
    <xf numFmtId="2" fontId="28" fillId="32" borderId="0" xfId="0" applyNumberFormat="1" applyFont="1" applyFill="1" applyBorder="1" applyAlignment="1">
      <alignment vertical="center"/>
    </xf>
    <xf numFmtId="2" fontId="27" fillId="32" borderId="0" xfId="0" applyNumberFormat="1" applyFont="1" applyFill="1" applyBorder="1" applyAlignment="1">
      <alignment horizontal="left" vertical="center"/>
    </xf>
    <xf numFmtId="2" fontId="28" fillId="32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28" fillId="0" borderId="16" xfId="6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20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203" fontId="28" fillId="0" borderId="0" xfId="60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203" fontId="27" fillId="0" borderId="0" xfId="60" applyFont="1" applyBorder="1" applyAlignment="1">
      <alignment horizontal="center" vertical="center" wrapText="1"/>
    </xf>
    <xf numFmtId="207" fontId="27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222" fontId="28" fillId="32" borderId="16" xfId="0" applyNumberFormat="1" applyFont="1" applyFill="1" applyBorder="1" applyAlignment="1">
      <alignment horizontal="center" vertical="center" wrapText="1"/>
    </xf>
    <xf numFmtId="222" fontId="28" fillId="0" borderId="23" xfId="0" applyNumberFormat="1" applyFont="1" applyBorder="1" applyAlignment="1">
      <alignment horizontal="center" vertical="center" wrapText="1"/>
    </xf>
    <xf numFmtId="222" fontId="28" fillId="0" borderId="0" xfId="0" applyNumberFormat="1" applyFont="1" applyBorder="1" applyAlignment="1">
      <alignment horizontal="center" vertical="center" wrapText="1"/>
    </xf>
    <xf numFmtId="222" fontId="28" fillId="0" borderId="0" xfId="0" applyNumberFormat="1" applyFont="1" applyFill="1" applyBorder="1" applyAlignment="1">
      <alignment horizontal="center" vertical="center" wrapText="1"/>
    </xf>
    <xf numFmtId="222" fontId="28" fillId="0" borderId="0" xfId="60" applyNumberFormat="1" applyFont="1" applyBorder="1" applyAlignment="1">
      <alignment horizontal="center" vertical="center" wrapText="1"/>
    </xf>
    <xf numFmtId="222" fontId="27" fillId="0" borderId="0" xfId="60" applyNumberFormat="1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2" fontId="28" fillId="0" borderId="0" xfId="60" applyNumberFormat="1" applyFont="1" applyBorder="1" applyAlignment="1">
      <alignment horizontal="center" vertical="center" wrapText="1"/>
    </xf>
    <xf numFmtId="4" fontId="27" fillId="0" borderId="0" xfId="60" applyNumberFormat="1" applyFont="1" applyBorder="1" applyAlignment="1">
      <alignment horizontal="center" vertical="center" wrapText="1"/>
    </xf>
    <xf numFmtId="20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203" fontId="28" fillId="0" borderId="0" xfId="6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2" fontId="28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" fontId="28" fillId="0" borderId="19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203" fontId="27" fillId="0" borderId="0" xfId="60" applyFont="1" applyBorder="1" applyAlignment="1">
      <alignment horizontal="right" vertical="center" wrapText="1"/>
    </xf>
    <xf numFmtId="224" fontId="27" fillId="0" borderId="0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27" fillId="0" borderId="16" xfId="6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Fill="1" applyAlignment="1">
      <alignment vertic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Fill="1" applyAlignment="1">
      <alignment vertical="center"/>
    </xf>
    <xf numFmtId="0" fontId="36" fillId="0" borderId="10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10" fontId="30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24" fontId="0" fillId="0" borderId="0" xfId="0" applyNumberForma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vertical="center" wrapText="1"/>
    </xf>
    <xf numFmtId="224" fontId="18" fillId="0" borderId="24" xfId="0" applyNumberFormat="1" applyFont="1" applyBorder="1" applyAlignment="1">
      <alignment horizontal="center" vertical="center" wrapText="1"/>
    </xf>
    <xf numFmtId="207" fontId="18" fillId="0" borderId="24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24" fontId="5" fillId="0" borderId="24" xfId="0" applyNumberFormat="1" applyFont="1" applyBorder="1" applyAlignment="1">
      <alignment horizontal="center" vertical="center" wrapText="1"/>
    </xf>
    <xf numFmtId="207" fontId="5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5" fillId="0" borderId="26" xfId="60" applyNumberFormat="1" applyFont="1" applyBorder="1" applyAlignment="1">
      <alignment horizontal="center" vertical="center" wrapText="1"/>
    </xf>
    <xf numFmtId="4" fontId="28" fillId="32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207" fontId="28" fillId="33" borderId="16" xfId="0" applyNumberFormat="1" applyFont="1" applyFill="1" applyBorder="1" applyAlignment="1">
      <alignment horizontal="center" vertical="center" wrapText="1"/>
    </xf>
    <xf numFmtId="2" fontId="28" fillId="33" borderId="16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center" vertical="center" wrapText="1"/>
    </xf>
    <xf numFmtId="207" fontId="27" fillId="33" borderId="0" xfId="0" applyNumberFormat="1" applyFont="1" applyFill="1" applyBorder="1" applyAlignment="1">
      <alignment horizontal="center" vertical="center" wrapText="1"/>
    </xf>
    <xf numFmtId="2" fontId="27" fillId="33" borderId="23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07" fontId="28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07" fontId="27" fillId="33" borderId="17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207" fontId="28" fillId="33" borderId="16" xfId="0" applyNumberFormat="1" applyFont="1" applyFill="1" applyBorder="1" applyAlignment="1">
      <alignment horizontal="center" vertical="center" wrapText="1"/>
    </xf>
    <xf numFmtId="2" fontId="28" fillId="33" borderId="16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207" fontId="27" fillId="33" borderId="16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207" fontId="28" fillId="33" borderId="18" xfId="0" applyNumberFormat="1" applyFont="1" applyFill="1" applyBorder="1" applyAlignment="1">
      <alignment horizontal="center" vertical="center" wrapText="1"/>
    </xf>
    <xf numFmtId="207" fontId="27" fillId="33" borderId="16" xfId="0" applyNumberFormat="1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07" fontId="27" fillId="33" borderId="10" xfId="0" applyNumberFormat="1" applyFont="1" applyFill="1" applyBorder="1" applyAlignment="1">
      <alignment horizontal="center" vertical="center" wrapText="1"/>
    </xf>
    <xf numFmtId="207" fontId="27" fillId="33" borderId="10" xfId="0" applyNumberFormat="1" applyFont="1" applyFill="1" applyBorder="1" applyAlignment="1">
      <alignment horizontal="center" vertical="center" wrapText="1"/>
    </xf>
    <xf numFmtId="207" fontId="28" fillId="33" borderId="18" xfId="0" applyNumberFormat="1" applyFont="1" applyFill="1" applyBorder="1" applyAlignment="1">
      <alignment horizontal="center" vertical="center" wrapText="1"/>
    </xf>
    <xf numFmtId="207" fontId="28" fillId="33" borderId="10" xfId="0" applyNumberFormat="1" applyFont="1" applyFill="1" applyBorder="1" applyAlignment="1">
      <alignment horizontal="center" vertical="center" wrapText="1"/>
    </xf>
    <xf numFmtId="207" fontId="28" fillId="33" borderId="10" xfId="0" applyNumberFormat="1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2" fontId="27" fillId="33" borderId="23" xfId="0" applyNumberFormat="1" applyFont="1" applyFill="1" applyBorder="1" applyAlignment="1">
      <alignment horizontal="center" vertical="center" wrapText="1"/>
    </xf>
    <xf numFmtId="207" fontId="27" fillId="33" borderId="0" xfId="0" applyNumberFormat="1" applyFont="1" applyFill="1" applyBorder="1" applyAlignment="1">
      <alignment horizontal="center" vertical="center"/>
    </xf>
    <xf numFmtId="207" fontId="27" fillId="33" borderId="0" xfId="0" applyNumberFormat="1" applyFont="1" applyFill="1" applyAlignment="1">
      <alignment horizontal="center" vertical="center"/>
    </xf>
    <xf numFmtId="0" fontId="28" fillId="33" borderId="16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2" fontId="28" fillId="33" borderId="18" xfId="0" applyNumberFormat="1" applyFont="1" applyFill="1" applyBorder="1" applyAlignment="1">
      <alignment horizontal="center" vertical="center" wrapText="1"/>
    </xf>
    <xf numFmtId="207" fontId="27" fillId="33" borderId="23" xfId="0" applyNumberFormat="1" applyFont="1" applyFill="1" applyBorder="1" applyAlignment="1">
      <alignment horizontal="center" vertical="center" wrapText="1"/>
    </xf>
    <xf numFmtId="207" fontId="27" fillId="33" borderId="0" xfId="0" applyNumberFormat="1" applyFont="1" applyFill="1" applyBorder="1" applyAlignment="1">
      <alignment horizontal="center" vertical="center" wrapText="1"/>
    </xf>
    <xf numFmtId="207" fontId="28" fillId="33" borderId="0" xfId="0" applyNumberFormat="1" applyFont="1" applyFill="1" applyBorder="1" applyAlignment="1">
      <alignment horizontal="center" vertical="center" wrapText="1"/>
    </xf>
    <xf numFmtId="207" fontId="27" fillId="33" borderId="23" xfId="0" applyNumberFormat="1" applyFont="1" applyFill="1" applyBorder="1" applyAlignment="1">
      <alignment horizontal="center" vertical="center" wrapText="1"/>
    </xf>
    <xf numFmtId="207" fontId="28" fillId="33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207" fontId="41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22" fontId="56" fillId="0" borderId="23" xfId="0" applyNumberFormat="1" applyFont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33" borderId="18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4" fontId="2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2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207" fontId="28" fillId="33" borderId="2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" fontId="5" fillId="0" borderId="27" xfId="0" applyNumberFormat="1" applyFont="1" applyBorder="1" applyAlignment="1">
      <alignment horizontal="center" vertical="center" wrapText="1"/>
    </xf>
    <xf numFmtId="4" fontId="99" fillId="0" borderId="10" xfId="0" applyNumberFormat="1" applyFont="1" applyBorder="1" applyAlignment="1">
      <alignment horizontal="right" vertical="center" wrapText="1"/>
    </xf>
    <xf numFmtId="4" fontId="27" fillId="33" borderId="16" xfId="0" applyNumberFormat="1" applyFont="1" applyFill="1" applyBorder="1" applyAlignment="1">
      <alignment horizontal="center" vertical="center" wrapText="1"/>
    </xf>
    <xf numFmtId="4" fontId="27" fillId="33" borderId="0" xfId="0" applyNumberFormat="1" applyFont="1" applyFill="1" applyAlignment="1">
      <alignment vertical="center"/>
    </xf>
    <xf numFmtId="0" fontId="57" fillId="0" borderId="16" xfId="0" applyFont="1" applyBorder="1" applyAlignment="1">
      <alignment vertical="center" wrapText="1"/>
    </xf>
    <xf numFmtId="0" fontId="57" fillId="32" borderId="16" xfId="0" applyFont="1" applyFill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207" fontId="27" fillId="33" borderId="0" xfId="0" applyNumberFormat="1" applyFont="1" applyFill="1" applyAlignment="1">
      <alignment horizontal="center" vertical="center"/>
    </xf>
    <xf numFmtId="0" fontId="57" fillId="0" borderId="16" xfId="0" applyFont="1" applyBorder="1" applyAlignment="1">
      <alignment vertical="center" wrapText="1"/>
    </xf>
    <xf numFmtId="4" fontId="27" fillId="33" borderId="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/>
    </xf>
    <xf numFmtId="4" fontId="28" fillId="0" borderId="12" xfId="0" applyNumberFormat="1" applyFont="1" applyBorder="1" applyAlignment="1">
      <alignment horizontal="center" vertical="center" wrapText="1"/>
    </xf>
    <xf numFmtId="39" fontId="28" fillId="33" borderId="10" xfId="60" applyNumberFormat="1" applyFont="1" applyFill="1" applyBorder="1" applyAlignment="1">
      <alignment horizontal="center" vertical="center" wrapText="1"/>
    </xf>
    <xf numFmtId="203" fontId="27" fillId="33" borderId="10" xfId="6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2" fillId="33" borderId="0" xfId="0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207" fontId="29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207" fontId="28" fillId="33" borderId="19" xfId="0" applyNumberFormat="1" applyFont="1" applyFill="1" applyBorder="1" applyAlignment="1">
      <alignment horizontal="center" vertical="center" wrapText="1"/>
    </xf>
    <xf numFmtId="203" fontId="27" fillId="33" borderId="17" xfId="60" applyNumberFormat="1" applyFont="1" applyFill="1" applyBorder="1" applyAlignment="1">
      <alignment horizontal="center" vertical="center"/>
    </xf>
    <xf numFmtId="203" fontId="27" fillId="33" borderId="21" xfId="60" applyNumberFormat="1" applyFont="1" applyFill="1" applyBorder="1" applyAlignment="1">
      <alignment horizontal="center" vertical="center"/>
    </xf>
    <xf numFmtId="203" fontId="27" fillId="33" borderId="0" xfId="6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2" fontId="28" fillId="33" borderId="18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2" fontId="41" fillId="33" borderId="0" xfId="0" applyNumberFormat="1" applyFont="1" applyFill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vertical="center"/>
    </xf>
    <xf numFmtId="4" fontId="27" fillId="33" borderId="10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33" borderId="0" xfId="0" applyNumberFormat="1" applyFont="1" applyFill="1" applyBorder="1" applyAlignment="1">
      <alignment horizontal="center" vertical="center"/>
    </xf>
    <xf numFmtId="203" fontId="27" fillId="0" borderId="16" xfId="0" applyNumberFormat="1" applyFont="1" applyBorder="1" applyAlignment="1">
      <alignment wrapText="1"/>
    </xf>
    <xf numFmtId="4" fontId="27" fillId="33" borderId="0" xfId="0" applyNumberFormat="1" applyFont="1" applyFill="1" applyBorder="1" applyAlignment="1">
      <alignment horizontal="center" vertical="center" wrapText="1"/>
    </xf>
    <xf numFmtId="4" fontId="27" fillId="32" borderId="0" xfId="60" applyNumberFormat="1" applyFont="1" applyFill="1" applyBorder="1" applyAlignment="1">
      <alignment horizontal="center" vertical="center" wrapText="1"/>
    </xf>
    <xf numFmtId="4" fontId="27" fillId="33" borderId="0" xfId="0" applyNumberFormat="1" applyFont="1" applyFill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224" fontId="28" fillId="33" borderId="10" xfId="0" applyNumberFormat="1" applyFont="1" applyFill="1" applyBorder="1" applyAlignment="1">
      <alignment horizontal="center" vertical="center" wrapText="1"/>
    </xf>
    <xf numFmtId="4" fontId="99" fillId="33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203" fontId="27" fillId="0" borderId="10" xfId="60" applyFont="1" applyBorder="1" applyAlignment="1">
      <alignment horizontal="center" vertical="center" wrapText="1"/>
    </xf>
    <xf numFmtId="203" fontId="28" fillId="0" borderId="10" xfId="60" applyFont="1" applyBorder="1" applyAlignment="1">
      <alignment horizontal="center" vertical="center" wrapText="1"/>
    </xf>
    <xf numFmtId="224" fontId="28" fillId="33" borderId="10" xfId="0" applyNumberFormat="1" applyFont="1" applyFill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2" fontId="62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4" fontId="62" fillId="0" borderId="0" xfId="0" applyNumberFormat="1" applyFont="1" applyAlignment="1">
      <alignment vertical="center"/>
    </xf>
    <xf numFmtId="0" fontId="62" fillId="0" borderId="0" xfId="0" applyFont="1" applyAlignment="1">
      <alignment horizontal="justify" vertical="center"/>
    </xf>
    <xf numFmtId="4" fontId="62" fillId="0" borderId="0" xfId="0" applyNumberFormat="1" applyFont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4" fontId="27" fillId="33" borderId="17" xfId="0" applyNumberFormat="1" applyFont="1" applyFill="1" applyBorder="1" applyAlignment="1">
      <alignment horizontal="center" vertical="center" wrapText="1"/>
    </xf>
    <xf numFmtId="207" fontId="99" fillId="33" borderId="10" xfId="0" applyNumberFormat="1" applyFont="1" applyFill="1" applyBorder="1" applyAlignment="1">
      <alignment horizontal="center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2" fontId="36" fillId="32" borderId="32" xfId="0" applyNumberFormat="1" applyFont="1" applyFill="1" applyBorder="1" applyAlignment="1">
      <alignment horizontal="center" vertical="center"/>
    </xf>
    <xf numFmtId="2" fontId="36" fillId="32" borderId="12" xfId="0" applyNumberFormat="1" applyFont="1" applyFill="1" applyBorder="1" applyAlignment="1">
      <alignment horizontal="center" vertical="center"/>
    </xf>
    <xf numFmtId="2" fontId="36" fillId="32" borderId="18" xfId="0" applyNumberFormat="1" applyFont="1" applyFill="1" applyBorder="1" applyAlignment="1">
      <alignment horizontal="center" vertical="center"/>
    </xf>
    <xf numFmtId="2" fontId="36" fillId="0" borderId="32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2" fontId="36" fillId="0" borderId="32" xfId="0" applyNumberFormat="1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207" fontId="28" fillId="33" borderId="20" xfId="0" applyNumberFormat="1" applyFont="1" applyFill="1" applyBorder="1" applyAlignment="1">
      <alignment horizontal="center" vertical="center" wrapText="1"/>
    </xf>
    <xf numFmtId="207" fontId="28" fillId="33" borderId="11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4" fontId="28" fillId="0" borderId="20" xfId="0" applyNumberFormat="1" applyFont="1" applyBorder="1" applyAlignment="1">
      <alignment horizontal="right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8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21"/>
  <sheetViews>
    <sheetView tabSelected="1" view="pageBreakPreview" zoomScale="75" zoomScaleNormal="75" zoomScaleSheetLayoutView="75" zoomScalePageLayoutView="0" workbookViewId="0" topLeftCell="A1">
      <selection activeCell="A12" sqref="A12:S12"/>
    </sheetView>
  </sheetViews>
  <sheetFormatPr defaultColWidth="9.00390625" defaultRowHeight="12.75"/>
  <cols>
    <col min="1" max="1" width="4.875" style="18" customWidth="1"/>
    <col min="2" max="2" width="27.875" style="18" customWidth="1"/>
    <col min="3" max="3" width="15.75390625" style="18" customWidth="1"/>
    <col min="4" max="4" width="8.00390625" style="18" customWidth="1"/>
    <col min="5" max="5" width="9.625" style="18" customWidth="1"/>
    <col min="6" max="6" width="7.375" style="18" customWidth="1"/>
    <col min="7" max="7" width="7.00390625" style="18" customWidth="1"/>
    <col min="8" max="8" width="11.625" style="18" customWidth="1"/>
    <col min="9" max="9" width="9.75390625" style="18" customWidth="1"/>
    <col min="10" max="10" width="10.875" style="18" customWidth="1"/>
    <col min="11" max="11" width="11.375" style="18" customWidth="1"/>
    <col min="12" max="12" width="8.375" style="18" customWidth="1"/>
    <col min="13" max="13" width="9.875" style="18" bestFit="1" customWidth="1"/>
    <col min="14" max="14" width="9.25390625" style="18" bestFit="1" customWidth="1"/>
    <col min="15" max="15" width="10.25390625" style="18" customWidth="1"/>
    <col min="16" max="16" width="7.875" style="18" customWidth="1"/>
    <col min="17" max="17" width="9.875" style="18" customWidth="1"/>
    <col min="18" max="18" width="9.75390625" style="18" customWidth="1"/>
    <col min="19" max="19" width="13.875" style="18" customWidth="1"/>
    <col min="20" max="16384" width="9.125" style="18" customWidth="1"/>
  </cols>
  <sheetData>
    <row r="1" spans="1:8" ht="15.75">
      <c r="A1" s="29"/>
      <c r="H1" s="29"/>
    </row>
    <row r="2" spans="1:19" ht="16.5">
      <c r="A2" s="29"/>
      <c r="B2" s="480" t="s">
        <v>326</v>
      </c>
      <c r="C2" s="480"/>
      <c r="D2" s="480"/>
      <c r="E2" s="480"/>
      <c r="F2" s="27"/>
      <c r="G2" s="27"/>
      <c r="H2" s="27"/>
      <c r="I2" s="27"/>
      <c r="L2" s="480" t="s">
        <v>269</v>
      </c>
      <c r="M2" s="480"/>
      <c r="N2" s="480"/>
      <c r="O2" s="480"/>
      <c r="P2" s="480"/>
      <c r="Q2" s="480"/>
      <c r="R2" s="480"/>
      <c r="S2" s="35"/>
    </row>
    <row r="3" spans="1:19" ht="16.5">
      <c r="A3" s="29"/>
      <c r="B3" s="480" t="s">
        <v>374</v>
      </c>
      <c r="C3" s="480"/>
      <c r="D3" s="480"/>
      <c r="E3" s="480"/>
      <c r="F3" s="27"/>
      <c r="G3" s="27"/>
      <c r="H3" s="27"/>
      <c r="I3" s="27"/>
      <c r="L3" s="479" t="s">
        <v>374</v>
      </c>
      <c r="M3" s="479"/>
      <c r="N3" s="479"/>
      <c r="O3" s="479"/>
      <c r="P3" s="479"/>
      <c r="Q3" s="479"/>
      <c r="R3" s="479"/>
      <c r="S3" s="479"/>
    </row>
    <row r="4" spans="1:19" ht="15.75">
      <c r="A4" s="29"/>
      <c r="B4" s="479" t="s">
        <v>258</v>
      </c>
      <c r="C4" s="479"/>
      <c r="D4" s="479"/>
      <c r="E4" s="479"/>
      <c r="F4" s="22"/>
      <c r="G4" s="22"/>
      <c r="H4" s="22"/>
      <c r="I4" s="22"/>
      <c r="L4" s="479" t="s">
        <v>258</v>
      </c>
      <c r="M4" s="479"/>
      <c r="N4" s="479"/>
      <c r="O4" s="479"/>
      <c r="P4" s="479"/>
      <c r="Q4" s="479"/>
      <c r="R4" s="479"/>
      <c r="S4" s="479"/>
    </row>
    <row r="5" spans="1:19" ht="15.75">
      <c r="A5" s="29"/>
      <c r="B5" s="481" t="s">
        <v>375</v>
      </c>
      <c r="C5" s="481"/>
      <c r="D5" s="481"/>
      <c r="E5" s="481"/>
      <c r="F5" s="481"/>
      <c r="G5" s="481"/>
      <c r="H5" s="481"/>
      <c r="I5" s="481"/>
      <c r="J5" s="481"/>
      <c r="K5" s="479" t="s">
        <v>375</v>
      </c>
      <c r="L5" s="479"/>
      <c r="M5" s="479"/>
      <c r="N5" s="479"/>
      <c r="O5" s="479"/>
      <c r="P5" s="479"/>
      <c r="Q5" s="479"/>
      <c r="R5" s="479"/>
      <c r="S5" s="479"/>
    </row>
    <row r="6" spans="1:17" ht="18">
      <c r="A6" s="29"/>
      <c r="L6" s="20"/>
      <c r="M6" s="30"/>
      <c r="N6" s="30"/>
      <c r="O6" s="30"/>
      <c r="P6" s="30"/>
      <c r="Q6" s="30"/>
    </row>
    <row r="7" spans="1:19" ht="65.25" customHeight="1">
      <c r="A7" s="29"/>
      <c r="B7" s="475" t="s">
        <v>377</v>
      </c>
      <c r="C7" s="475"/>
      <c r="D7" s="452"/>
      <c r="E7" s="452"/>
      <c r="F7" s="482" t="s">
        <v>378</v>
      </c>
      <c r="G7" s="482"/>
      <c r="H7" s="482"/>
      <c r="I7" s="482"/>
      <c r="J7" s="482" t="s">
        <v>372</v>
      </c>
      <c r="K7" s="482"/>
      <c r="L7" s="482"/>
      <c r="M7" s="482"/>
      <c r="N7" s="483"/>
      <c r="O7" s="483"/>
      <c r="P7" s="484" t="s">
        <v>373</v>
      </c>
      <c r="Q7" s="484"/>
      <c r="R7" s="484"/>
      <c r="S7" s="484"/>
    </row>
    <row r="8" spans="1:16" ht="18">
      <c r="A8" s="29"/>
      <c r="C8" s="20" t="s">
        <v>324</v>
      </c>
      <c r="E8" s="18" t="s">
        <v>323</v>
      </c>
      <c r="H8" s="455"/>
      <c r="I8" s="455"/>
      <c r="J8" s="456"/>
      <c r="L8" s="454" t="s">
        <v>324</v>
      </c>
      <c r="M8" s="453"/>
      <c r="N8" s="487" t="s">
        <v>323</v>
      </c>
      <c r="O8" s="487"/>
      <c r="P8" s="453"/>
    </row>
    <row r="9" spans="1:16" ht="18">
      <c r="A9" s="29"/>
      <c r="H9" s="485" t="s">
        <v>325</v>
      </c>
      <c r="I9" s="485"/>
      <c r="J9" s="485"/>
      <c r="L9" s="398"/>
      <c r="M9" s="397"/>
      <c r="N9" s="397"/>
      <c r="O9" s="397"/>
      <c r="P9" s="397"/>
    </row>
    <row r="10" spans="1:17" ht="18">
      <c r="A10" s="29"/>
      <c r="L10" s="20"/>
      <c r="M10" s="30"/>
      <c r="N10" s="30"/>
      <c r="O10" s="30"/>
      <c r="P10" s="30"/>
      <c r="Q10" s="30"/>
    </row>
    <row r="11" spans="1:17" ht="21.75" customHeight="1">
      <c r="A11" s="29"/>
      <c r="J11" s="330"/>
      <c r="L11" s="20"/>
      <c r="M11" s="30"/>
      <c r="N11" s="30"/>
      <c r="O11" s="30"/>
      <c r="P11" s="30"/>
      <c r="Q11" s="30"/>
    </row>
    <row r="12" spans="1:19" ht="24" customHeight="1">
      <c r="A12" s="486" t="s">
        <v>86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</row>
    <row r="13" spans="1:19" ht="23.25" customHeight="1">
      <c r="A13" s="486" t="s">
        <v>97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</row>
    <row r="14" spans="1:19" ht="44.25" customHeight="1" thickBot="1">
      <c r="A14" s="488" t="s">
        <v>376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</row>
    <row r="15" spans="1:19" s="20" customFormat="1" ht="57" customHeight="1" thickBot="1">
      <c r="A15" s="489" t="s">
        <v>70</v>
      </c>
      <c r="B15" s="492" t="s">
        <v>71</v>
      </c>
      <c r="C15" s="492" t="s">
        <v>72</v>
      </c>
      <c r="D15" s="492" t="s">
        <v>73</v>
      </c>
      <c r="E15" s="492" t="s">
        <v>74</v>
      </c>
      <c r="F15" s="497" t="s">
        <v>75</v>
      </c>
      <c r="G15" s="501"/>
      <c r="H15" s="31" t="s">
        <v>76</v>
      </c>
      <c r="I15" s="329" t="s">
        <v>77</v>
      </c>
      <c r="J15" s="493" t="s">
        <v>82</v>
      </c>
      <c r="K15" s="501" t="s">
        <v>78</v>
      </c>
      <c r="L15" s="501"/>
      <c r="M15" s="501"/>
      <c r="N15" s="501"/>
      <c r="O15" s="501"/>
      <c r="P15" s="501"/>
      <c r="Q15" s="501"/>
      <c r="R15" s="498"/>
      <c r="S15" s="492" t="s">
        <v>118</v>
      </c>
    </row>
    <row r="16" spans="1:19" s="20" customFormat="1" ht="19.5" customHeight="1" thickBot="1">
      <c r="A16" s="490"/>
      <c r="B16" s="493"/>
      <c r="C16" s="493"/>
      <c r="D16" s="493"/>
      <c r="E16" s="493"/>
      <c r="F16" s="492" t="s">
        <v>79</v>
      </c>
      <c r="G16" s="492" t="s">
        <v>80</v>
      </c>
      <c r="H16" s="32" t="s">
        <v>236</v>
      </c>
      <c r="I16" s="492" t="s">
        <v>81</v>
      </c>
      <c r="J16" s="494"/>
      <c r="K16" s="497" t="s">
        <v>57</v>
      </c>
      <c r="L16" s="498"/>
      <c r="M16" s="497" t="s">
        <v>83</v>
      </c>
      <c r="N16" s="498"/>
      <c r="O16" s="497" t="s">
        <v>58</v>
      </c>
      <c r="P16" s="498"/>
      <c r="Q16" s="495" t="s">
        <v>59</v>
      </c>
      <c r="R16" s="496"/>
      <c r="S16" s="493"/>
    </row>
    <row r="17" spans="1:19" s="20" customFormat="1" ht="38.25" thickBot="1">
      <c r="A17" s="491"/>
      <c r="B17" s="494"/>
      <c r="C17" s="494"/>
      <c r="D17" s="494"/>
      <c r="E17" s="494"/>
      <c r="F17" s="494"/>
      <c r="G17" s="494"/>
      <c r="H17" s="33" t="s">
        <v>353</v>
      </c>
      <c r="I17" s="494"/>
      <c r="J17" s="319">
        <f>L18+N18+P18+R18</f>
        <v>1932.2</v>
      </c>
      <c r="K17" s="313" t="s">
        <v>84</v>
      </c>
      <c r="L17" s="313" t="s">
        <v>82</v>
      </c>
      <c r="M17" s="313" t="s">
        <v>84</v>
      </c>
      <c r="N17" s="313" t="s">
        <v>82</v>
      </c>
      <c r="O17" s="313" t="s">
        <v>84</v>
      </c>
      <c r="P17" s="313" t="s">
        <v>82</v>
      </c>
      <c r="Q17" s="313" t="s">
        <v>84</v>
      </c>
      <c r="R17" s="313" t="s">
        <v>82</v>
      </c>
      <c r="S17" s="494"/>
    </row>
    <row r="18" spans="1:19" s="20" customFormat="1" ht="48" customHeight="1" thickBot="1">
      <c r="A18" s="471">
        <v>1</v>
      </c>
      <c r="B18" s="314" t="s">
        <v>327</v>
      </c>
      <c r="C18" s="315" t="s">
        <v>155</v>
      </c>
      <c r="D18" s="315">
        <v>1</v>
      </c>
      <c r="E18" s="316">
        <v>120</v>
      </c>
      <c r="F18" s="315">
        <v>280</v>
      </c>
      <c r="G18" s="315" t="s">
        <v>85</v>
      </c>
      <c r="H18" s="317">
        <v>38130</v>
      </c>
      <c r="I18" s="318">
        <f>K18+M18+O18+Q18</f>
        <v>284.25</v>
      </c>
      <c r="J18" s="319">
        <f>L18+N18+P18+R18</f>
        <v>1932.2</v>
      </c>
      <c r="K18" s="320">
        <v>66.75</v>
      </c>
      <c r="L18" s="320">
        <v>666.9</v>
      </c>
      <c r="M18" s="321">
        <v>109.5</v>
      </c>
      <c r="N18" s="320">
        <v>756.1</v>
      </c>
      <c r="O18" s="321">
        <v>54.25</v>
      </c>
      <c r="P18" s="320">
        <v>221.9</v>
      </c>
      <c r="Q18" s="321">
        <v>53.75</v>
      </c>
      <c r="R18" s="320">
        <v>287.3</v>
      </c>
      <c r="S18" s="612">
        <v>15.5</v>
      </c>
    </row>
    <row r="19" spans="1:19" s="20" customFormat="1" ht="31.5" customHeight="1" thickBot="1">
      <c r="A19" s="322"/>
      <c r="B19" s="323" t="s">
        <v>356</v>
      </c>
      <c r="C19" s="322"/>
      <c r="D19" s="314">
        <f>SUM(D18:D18)</f>
        <v>1</v>
      </c>
      <c r="E19" s="324">
        <f>SUM(E18:E18)</f>
        <v>120</v>
      </c>
      <c r="F19" s="499">
        <f>F18</f>
        <v>280</v>
      </c>
      <c r="G19" s="500"/>
      <c r="H19" s="325">
        <f>SUM(H18:H18)</f>
        <v>38130</v>
      </c>
      <c r="I19" s="399">
        <f>SUM(I18:I18)</f>
        <v>284.25</v>
      </c>
      <c r="J19" s="327">
        <f>SUM(J18:J18)</f>
        <v>1932.2</v>
      </c>
      <c r="K19" s="331">
        <f>SUM(K18:K18)</f>
        <v>66.75</v>
      </c>
      <c r="L19" s="328">
        <f>L18</f>
        <v>666.9</v>
      </c>
      <c r="M19" s="326">
        <f aca="true" t="shared" si="0" ref="M19:R19">M18</f>
        <v>109.5</v>
      </c>
      <c r="N19" s="328">
        <f t="shared" si="0"/>
        <v>756.1</v>
      </c>
      <c r="O19" s="326">
        <f t="shared" si="0"/>
        <v>54.25</v>
      </c>
      <c r="P19" s="328">
        <f t="shared" si="0"/>
        <v>221.9</v>
      </c>
      <c r="Q19" s="326">
        <f t="shared" si="0"/>
        <v>53.75</v>
      </c>
      <c r="R19" s="328">
        <f t="shared" si="0"/>
        <v>287.3</v>
      </c>
      <c r="S19" s="613">
        <f>SUM(S18:S18)</f>
        <v>15.5</v>
      </c>
    </row>
    <row r="20" ht="18.75">
      <c r="A20" s="34"/>
    </row>
    <row r="21" ht="18.75">
      <c r="A21" s="34"/>
    </row>
  </sheetData>
  <sheetProtection/>
  <mergeCells count="34">
    <mergeCell ref="F19:G19"/>
    <mergeCell ref="F15:G15"/>
    <mergeCell ref="J15:J16"/>
    <mergeCell ref="K15:R15"/>
    <mergeCell ref="S15:S17"/>
    <mergeCell ref="F16:F17"/>
    <mergeCell ref="G16:G17"/>
    <mergeCell ref="I16:I17"/>
    <mergeCell ref="K16:L16"/>
    <mergeCell ref="M16:N16"/>
    <mergeCell ref="A13:S13"/>
    <mergeCell ref="F7:I7"/>
    <mergeCell ref="A14:S14"/>
    <mergeCell ref="A15:A17"/>
    <mergeCell ref="B15:B17"/>
    <mergeCell ref="C15:C17"/>
    <mergeCell ref="Q16:R16"/>
    <mergeCell ref="D15:D17"/>
    <mergeCell ref="E15:E17"/>
    <mergeCell ref="O16:P16"/>
    <mergeCell ref="J7:M7"/>
    <mergeCell ref="N7:O7"/>
    <mergeCell ref="P7:S7"/>
    <mergeCell ref="H9:J9"/>
    <mergeCell ref="A12:S12"/>
    <mergeCell ref="N8:O8"/>
    <mergeCell ref="K5:S5"/>
    <mergeCell ref="B2:E2"/>
    <mergeCell ref="L2:R2"/>
    <mergeCell ref="B3:E3"/>
    <mergeCell ref="L3:S3"/>
    <mergeCell ref="B4:E4"/>
    <mergeCell ref="L4:S4"/>
    <mergeCell ref="B5:J5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7:AC525"/>
  <sheetViews>
    <sheetView view="pageBreakPreview" zoomScale="40" zoomScaleNormal="75" zoomScaleSheetLayoutView="40" zoomScalePageLayoutView="0" workbookViewId="0" topLeftCell="A1">
      <pane ySplit="9" topLeftCell="A503" activePane="bottomLeft" state="frozen"/>
      <selection pane="topLeft" activeCell="A1" sqref="A1"/>
      <selection pane="bottomLeft" activeCell="C520" sqref="C520"/>
    </sheetView>
  </sheetViews>
  <sheetFormatPr defaultColWidth="9.00390625" defaultRowHeight="12.75"/>
  <cols>
    <col min="1" max="1" width="11.375" style="18" customWidth="1"/>
    <col min="2" max="2" width="77.25390625" style="18" customWidth="1"/>
    <col min="3" max="3" width="20.25390625" style="417" customWidth="1"/>
    <col min="4" max="4" width="27.625" style="18" customWidth="1"/>
    <col min="5" max="5" width="24.625" style="18" customWidth="1"/>
    <col min="6" max="6" width="24.25390625" style="18" customWidth="1"/>
    <col min="7" max="7" width="26.00390625" style="18" customWidth="1"/>
    <col min="8" max="8" width="23.75390625" style="18" customWidth="1"/>
    <col min="9" max="9" width="24.75390625" style="18" customWidth="1"/>
    <col min="10" max="10" width="23.75390625" style="18" customWidth="1"/>
    <col min="11" max="11" width="26.875" style="18" customWidth="1"/>
    <col min="12" max="12" width="26.375" style="18" customWidth="1"/>
    <col min="13" max="13" width="20.125" style="18" customWidth="1"/>
    <col min="14" max="14" width="22.625" style="18" customWidth="1"/>
    <col min="15" max="15" width="24.875" style="18" customWidth="1"/>
    <col min="16" max="16" width="26.75390625" style="18" customWidth="1"/>
    <col min="17" max="17" width="39.625" style="18" customWidth="1"/>
    <col min="18" max="18" width="20.25390625" style="18" customWidth="1"/>
    <col min="19" max="19" width="13.25390625" style="18" bestFit="1" customWidth="1"/>
    <col min="20" max="16384" width="9.125" style="18" customWidth="1"/>
  </cols>
  <sheetData>
    <row r="1" ht="12.75"/>
    <row r="2" ht="12.75"/>
    <row r="3" ht="0.75" customHeight="1"/>
    <row r="4" ht="12.75" hidden="1"/>
    <row r="5" ht="29.25" customHeight="1" hidden="1"/>
    <row r="6" ht="64.5" customHeight="1"/>
    <row r="7" spans="1:18" ht="24" customHeight="1">
      <c r="A7" s="551" t="s">
        <v>1</v>
      </c>
      <c r="B7" s="551" t="s">
        <v>2</v>
      </c>
      <c r="C7" s="561" t="s">
        <v>3</v>
      </c>
      <c r="D7" s="551" t="s">
        <v>12</v>
      </c>
      <c r="E7" s="563" t="s">
        <v>127</v>
      </c>
      <c r="F7" s="564"/>
      <c r="G7" s="564"/>
      <c r="H7" s="564"/>
      <c r="I7" s="564"/>
      <c r="J7" s="565"/>
      <c r="K7" s="569" t="s">
        <v>128</v>
      </c>
      <c r="L7" s="563" t="s">
        <v>129</v>
      </c>
      <c r="M7" s="564"/>
      <c r="N7" s="564"/>
      <c r="O7" s="568" t="s">
        <v>132</v>
      </c>
      <c r="P7" s="568"/>
      <c r="Q7" s="551" t="s">
        <v>4</v>
      </c>
      <c r="R7" s="551" t="s">
        <v>5</v>
      </c>
    </row>
    <row r="8" spans="1:18" ht="125.25" customHeight="1">
      <c r="A8" s="552"/>
      <c r="B8" s="552"/>
      <c r="C8" s="562"/>
      <c r="D8" s="552"/>
      <c r="E8" s="37" t="s">
        <v>6</v>
      </c>
      <c r="F8" s="37" t="s">
        <v>134</v>
      </c>
      <c r="G8" s="37" t="s">
        <v>232</v>
      </c>
      <c r="H8" s="37" t="s">
        <v>367</v>
      </c>
      <c r="I8" s="37" t="s">
        <v>366</v>
      </c>
      <c r="J8" s="37" t="s">
        <v>213</v>
      </c>
      <c r="K8" s="570"/>
      <c r="L8" s="37" t="s">
        <v>130</v>
      </c>
      <c r="M8" s="37" t="s">
        <v>131</v>
      </c>
      <c r="N8" s="37" t="s">
        <v>119</v>
      </c>
      <c r="O8" s="37" t="s">
        <v>133</v>
      </c>
      <c r="P8" s="37" t="s">
        <v>206</v>
      </c>
      <c r="Q8" s="552"/>
      <c r="R8" s="552"/>
    </row>
    <row r="9" spans="1:18" ht="25.5">
      <c r="A9" s="41">
        <v>1</v>
      </c>
      <c r="B9" s="42">
        <v>2</v>
      </c>
      <c r="C9" s="343">
        <v>3</v>
      </c>
      <c r="D9" s="42">
        <v>4</v>
      </c>
      <c r="E9" s="42">
        <v>5</v>
      </c>
      <c r="F9" s="43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</row>
    <row r="10" spans="1:18" ht="26.25">
      <c r="A10" s="557" t="s">
        <v>210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40"/>
      <c r="O10" s="36"/>
      <c r="P10" s="36"/>
      <c r="Q10" s="36"/>
      <c r="R10" s="36"/>
    </row>
    <row r="11" spans="1:18" ht="26.25">
      <c r="A11" s="553" t="s">
        <v>11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40"/>
      <c r="O11" s="36"/>
      <c r="P11" s="36"/>
      <c r="Q11" s="36"/>
      <c r="R11" s="36"/>
    </row>
    <row r="12" spans="1:18" ht="26.25">
      <c r="A12" s="567" t="s">
        <v>211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40"/>
      <c r="O12" s="36"/>
      <c r="P12" s="36"/>
      <c r="Q12" s="36"/>
      <c r="R12" s="36"/>
    </row>
    <row r="13" spans="1:18" ht="7.5" customHeight="1">
      <c r="A13" s="553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40"/>
      <c r="O13" s="36"/>
      <c r="P13" s="36"/>
      <c r="Q13" s="36"/>
      <c r="R13" s="36"/>
    </row>
    <row r="14" spans="1:18" ht="8.25" customHeight="1" hidden="1">
      <c r="A14" s="39"/>
      <c r="B14" s="40"/>
      <c r="C14" s="34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6"/>
      <c r="P14" s="36"/>
      <c r="Q14" s="36"/>
      <c r="R14" s="36"/>
    </row>
    <row r="15" spans="1:18" ht="46.5" customHeight="1">
      <c r="A15" s="45">
        <f>(A14+1)</f>
        <v>1</v>
      </c>
      <c r="B15" s="46" t="s">
        <v>355</v>
      </c>
      <c r="C15" s="345">
        <v>1</v>
      </c>
      <c r="D15" s="389">
        <v>37085</v>
      </c>
      <c r="E15" s="47"/>
      <c r="F15" s="47"/>
      <c r="G15" s="47"/>
      <c r="H15" s="47"/>
      <c r="I15" s="47"/>
      <c r="J15" s="47"/>
      <c r="K15" s="47">
        <f aca="true" t="shared" si="0" ref="K15:K20">SUM(D15:J15)</f>
        <v>37085</v>
      </c>
      <c r="L15" s="47"/>
      <c r="M15" s="47"/>
      <c r="N15" s="47"/>
      <c r="O15" s="47"/>
      <c r="P15" s="47"/>
      <c r="Q15" s="48">
        <f aca="true" t="shared" si="1" ref="Q15:Q20">SUM(K15:P15)*C15</f>
        <v>37085</v>
      </c>
      <c r="R15" s="49" t="s">
        <v>85</v>
      </c>
    </row>
    <row r="16" spans="1:20" ht="58.5" customHeight="1">
      <c r="A16" s="45">
        <f>(A15+1)</f>
        <v>2</v>
      </c>
      <c r="B16" s="50" t="s">
        <v>340</v>
      </c>
      <c r="C16" s="345">
        <v>1</v>
      </c>
      <c r="D16" s="389">
        <v>35231</v>
      </c>
      <c r="E16" s="47"/>
      <c r="F16" s="47"/>
      <c r="G16" s="47"/>
      <c r="H16" s="47"/>
      <c r="I16" s="47"/>
      <c r="J16" s="47"/>
      <c r="K16" s="47">
        <f t="shared" si="0"/>
        <v>35231</v>
      </c>
      <c r="L16" s="47"/>
      <c r="M16" s="47"/>
      <c r="N16" s="47"/>
      <c r="O16" s="47"/>
      <c r="P16" s="47"/>
      <c r="Q16" s="48">
        <f t="shared" si="1"/>
        <v>35231</v>
      </c>
      <c r="R16" s="51" t="s">
        <v>85</v>
      </c>
      <c r="T16" s="18" t="s">
        <v>126</v>
      </c>
    </row>
    <row r="17" spans="1:18" ht="76.5">
      <c r="A17" s="45">
        <v>3</v>
      </c>
      <c r="B17" s="50" t="s">
        <v>371</v>
      </c>
      <c r="C17" s="345">
        <v>1</v>
      </c>
      <c r="D17" s="389">
        <v>29668</v>
      </c>
      <c r="E17" s="47"/>
      <c r="F17" s="47"/>
      <c r="G17" s="47"/>
      <c r="H17" s="47"/>
      <c r="I17" s="47"/>
      <c r="J17" s="47"/>
      <c r="K17" s="47">
        <f t="shared" si="0"/>
        <v>29668</v>
      </c>
      <c r="L17" s="47"/>
      <c r="M17" s="47"/>
      <c r="N17" s="47"/>
      <c r="O17" s="47"/>
      <c r="P17" s="47"/>
      <c r="Q17" s="48">
        <f t="shared" si="1"/>
        <v>29668</v>
      </c>
      <c r="R17" s="51" t="s">
        <v>85</v>
      </c>
    </row>
    <row r="18" spans="1:18" ht="76.5">
      <c r="A18" s="45">
        <v>4</v>
      </c>
      <c r="B18" s="50" t="s">
        <v>369</v>
      </c>
      <c r="C18" s="345">
        <v>1</v>
      </c>
      <c r="D18" s="478">
        <v>23400</v>
      </c>
      <c r="E18" s="47"/>
      <c r="F18" s="47"/>
      <c r="G18" s="47"/>
      <c r="H18" s="47"/>
      <c r="I18" s="47"/>
      <c r="J18" s="47"/>
      <c r="K18" s="47">
        <f t="shared" si="0"/>
        <v>23400</v>
      </c>
      <c r="L18" s="47"/>
      <c r="M18" s="47"/>
      <c r="N18" s="47"/>
      <c r="O18" s="47"/>
      <c r="P18" s="47"/>
      <c r="Q18" s="48">
        <f t="shared" si="1"/>
        <v>23400</v>
      </c>
      <c r="R18" s="51" t="s">
        <v>85</v>
      </c>
    </row>
    <row r="19" spans="1:18" ht="38.25">
      <c r="A19" s="45">
        <v>5</v>
      </c>
      <c r="B19" s="50" t="s">
        <v>254</v>
      </c>
      <c r="C19" s="345">
        <v>1</v>
      </c>
      <c r="D19" s="47">
        <v>4455</v>
      </c>
      <c r="E19" s="47"/>
      <c r="F19" s="47"/>
      <c r="G19" s="47"/>
      <c r="H19" s="47"/>
      <c r="I19" s="47"/>
      <c r="J19" s="47"/>
      <c r="K19" s="47">
        <f t="shared" si="0"/>
        <v>4455</v>
      </c>
      <c r="L19" s="47"/>
      <c r="M19" s="47"/>
      <c r="N19" s="47"/>
      <c r="O19" s="47"/>
      <c r="P19" s="47"/>
      <c r="Q19" s="48">
        <f t="shared" si="1"/>
        <v>4455</v>
      </c>
      <c r="R19" s="51">
        <v>7</v>
      </c>
    </row>
    <row r="20" spans="1:18" ht="38.25">
      <c r="A20" s="45">
        <v>6</v>
      </c>
      <c r="B20" s="50" t="s">
        <v>0</v>
      </c>
      <c r="C20" s="345">
        <v>1</v>
      </c>
      <c r="D20" s="47">
        <v>5265</v>
      </c>
      <c r="E20" s="47"/>
      <c r="F20" s="47"/>
      <c r="G20" s="47"/>
      <c r="H20" s="47"/>
      <c r="I20" s="47"/>
      <c r="J20" s="47"/>
      <c r="K20" s="47">
        <f t="shared" si="0"/>
        <v>5265</v>
      </c>
      <c r="L20" s="47"/>
      <c r="M20" s="47"/>
      <c r="N20" s="47"/>
      <c r="O20" s="47"/>
      <c r="P20" s="47"/>
      <c r="Q20" s="48">
        <f t="shared" si="1"/>
        <v>5265</v>
      </c>
      <c r="R20" s="51">
        <v>10</v>
      </c>
    </row>
    <row r="21" spans="1:18" ht="58.5" customHeight="1">
      <c r="A21" s="46"/>
      <c r="B21" s="133" t="s">
        <v>18</v>
      </c>
      <c r="C21" s="362">
        <f>SUM(C15:C20)</f>
        <v>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>
        <f>SUM(Q15:Q20)</f>
        <v>135104</v>
      </c>
      <c r="R21" s="56"/>
    </row>
    <row r="22" spans="1:18" ht="60.75" customHeight="1">
      <c r="A22" s="57" t="s">
        <v>303</v>
      </c>
      <c r="B22" s="58"/>
      <c r="C22" s="347">
        <f>C16+C18+C17-C17</f>
        <v>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76">
        <f>Q16+Q18+Q17</f>
        <v>88299</v>
      </c>
      <c r="R22" s="60"/>
    </row>
    <row r="23" spans="1:18" ht="63" customHeight="1">
      <c r="A23" s="57" t="s">
        <v>304</v>
      </c>
      <c r="B23" s="61"/>
      <c r="C23" s="341">
        <f>C15+C19+C20+C17</f>
        <v>4</v>
      </c>
      <c r="D23" s="61"/>
      <c r="E23" s="61"/>
      <c r="F23" s="61"/>
      <c r="G23" s="61" t="s">
        <v>93</v>
      </c>
      <c r="H23" s="61"/>
      <c r="I23" s="61"/>
      <c r="J23" s="61"/>
      <c r="K23" s="61"/>
      <c r="L23" s="62"/>
      <c r="M23" s="61"/>
      <c r="N23" s="61"/>
      <c r="O23" s="61"/>
      <c r="P23" s="61"/>
      <c r="Q23" s="63">
        <f>Q15+Q19+Q20</f>
        <v>46805</v>
      </c>
      <c r="R23" s="64"/>
    </row>
    <row r="24" spans="1:18" ht="94.5" customHeight="1">
      <c r="A24" s="65"/>
      <c r="B24" s="65"/>
      <c r="C24" s="418" t="s">
        <v>214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6" customHeight="1">
      <c r="A25" s="66">
        <v>1</v>
      </c>
      <c r="B25" s="67">
        <v>2</v>
      </c>
      <c r="C25" s="349">
        <v>3</v>
      </c>
      <c r="D25" s="67">
        <v>4</v>
      </c>
      <c r="E25" s="67">
        <v>5</v>
      </c>
      <c r="F25" s="67">
        <v>6</v>
      </c>
      <c r="G25" s="67">
        <v>7</v>
      </c>
      <c r="H25" s="67">
        <v>8</v>
      </c>
      <c r="I25" s="67">
        <v>9</v>
      </c>
      <c r="J25" s="67">
        <v>10</v>
      </c>
      <c r="K25" s="67">
        <v>11</v>
      </c>
      <c r="L25" s="67">
        <v>12</v>
      </c>
      <c r="M25" s="67">
        <v>13</v>
      </c>
      <c r="N25" s="67">
        <v>14</v>
      </c>
      <c r="O25" s="67">
        <v>15</v>
      </c>
      <c r="P25" s="67">
        <v>16</v>
      </c>
      <c r="Q25" s="67">
        <v>17</v>
      </c>
      <c r="R25" s="67">
        <v>18</v>
      </c>
    </row>
    <row r="26" spans="1:18" ht="45" customHeight="1">
      <c r="A26" s="68">
        <v>1</v>
      </c>
      <c r="B26" s="69" t="s">
        <v>13</v>
      </c>
      <c r="C26" s="338">
        <v>0.5</v>
      </c>
      <c r="D26" s="70">
        <v>4745</v>
      </c>
      <c r="E26" s="71"/>
      <c r="F26" s="71"/>
      <c r="G26" s="71"/>
      <c r="H26" s="71"/>
      <c r="I26" s="71"/>
      <c r="J26" s="71"/>
      <c r="K26" s="71">
        <f>SUM(D26:J26)</f>
        <v>4745</v>
      </c>
      <c r="L26" s="71"/>
      <c r="M26" s="71"/>
      <c r="N26" s="71"/>
      <c r="O26" s="71"/>
      <c r="P26" s="71"/>
      <c r="Q26" s="48">
        <f aca="true" t="shared" si="2" ref="Q26:Q47">SUM(K26:P26)*C26</f>
        <v>2372.5</v>
      </c>
      <c r="R26" s="72">
        <v>8</v>
      </c>
    </row>
    <row r="27" spans="1:18" ht="41.25" customHeight="1">
      <c r="A27" s="68">
        <v>2</v>
      </c>
      <c r="B27" s="69" t="s">
        <v>274</v>
      </c>
      <c r="C27" s="338">
        <v>1</v>
      </c>
      <c r="D27" s="70">
        <v>5265</v>
      </c>
      <c r="E27" s="71"/>
      <c r="F27" s="71"/>
      <c r="G27" s="71"/>
      <c r="H27" s="71"/>
      <c r="I27" s="71"/>
      <c r="J27" s="71"/>
      <c r="K27" s="71">
        <f>SUM(D27:J27)</f>
        <v>5265</v>
      </c>
      <c r="L27" s="71"/>
      <c r="M27" s="71"/>
      <c r="N27" s="71"/>
      <c r="O27" s="71"/>
      <c r="P27" s="71"/>
      <c r="Q27" s="48">
        <f t="shared" si="2"/>
        <v>5265</v>
      </c>
      <c r="R27" s="72">
        <v>10</v>
      </c>
    </row>
    <row r="28" spans="1:18" ht="76.5">
      <c r="A28" s="68">
        <v>3</v>
      </c>
      <c r="B28" s="69" t="s">
        <v>205</v>
      </c>
      <c r="C28" s="338">
        <v>0.5</v>
      </c>
      <c r="D28" s="70">
        <v>5265</v>
      </c>
      <c r="E28" s="71"/>
      <c r="F28" s="71"/>
      <c r="G28" s="71"/>
      <c r="H28" s="71"/>
      <c r="I28" s="71"/>
      <c r="J28" s="71"/>
      <c r="K28" s="71">
        <f>D28+E28+F28+G28+H28+I28+J28</f>
        <v>5265</v>
      </c>
      <c r="L28" s="71"/>
      <c r="M28" s="71"/>
      <c r="N28" s="71"/>
      <c r="O28" s="71"/>
      <c r="P28" s="71"/>
      <c r="Q28" s="48">
        <f t="shared" si="2"/>
        <v>2632.5</v>
      </c>
      <c r="R28" s="72">
        <v>10</v>
      </c>
    </row>
    <row r="29" spans="1:18" ht="76.5">
      <c r="A29" s="68">
        <v>4</v>
      </c>
      <c r="B29" s="46" t="s">
        <v>332</v>
      </c>
      <c r="C29" s="345">
        <v>0.5</v>
      </c>
      <c r="D29" s="48">
        <v>4195</v>
      </c>
      <c r="E29" s="48"/>
      <c r="F29" s="48"/>
      <c r="G29" s="48"/>
      <c r="H29" s="48" t="s">
        <v>93</v>
      </c>
      <c r="I29" s="48"/>
      <c r="J29" s="48"/>
      <c r="K29" s="47">
        <f>SUM(D29:J29)</f>
        <v>4195</v>
      </c>
      <c r="L29" s="48"/>
      <c r="M29" s="48"/>
      <c r="N29" s="48"/>
      <c r="O29" s="48"/>
      <c r="P29" s="48"/>
      <c r="Q29" s="48">
        <f t="shared" si="2"/>
        <v>2097.5</v>
      </c>
      <c r="R29" s="49">
        <v>6</v>
      </c>
    </row>
    <row r="30" spans="1:18" ht="76.5">
      <c r="A30" s="68">
        <v>5</v>
      </c>
      <c r="B30" s="69" t="s">
        <v>275</v>
      </c>
      <c r="C30" s="338">
        <v>1</v>
      </c>
      <c r="D30" s="70">
        <v>5265</v>
      </c>
      <c r="E30" s="71"/>
      <c r="F30" s="71"/>
      <c r="G30" s="71"/>
      <c r="H30" s="71"/>
      <c r="I30" s="71"/>
      <c r="J30" s="71"/>
      <c r="K30" s="71">
        <f>D30+E30+F30+G30+H30+I30+J30</f>
        <v>5265</v>
      </c>
      <c r="L30" s="71"/>
      <c r="M30" s="71"/>
      <c r="N30" s="71"/>
      <c r="O30" s="71"/>
      <c r="P30" s="71"/>
      <c r="Q30" s="48">
        <f t="shared" si="2"/>
        <v>5265</v>
      </c>
      <c r="R30" s="72">
        <v>10</v>
      </c>
    </row>
    <row r="31" spans="1:18" ht="39.75" customHeight="1">
      <c r="A31" s="68">
        <v>6</v>
      </c>
      <c r="B31" s="69" t="s">
        <v>107</v>
      </c>
      <c r="C31" s="338">
        <v>1</v>
      </c>
      <c r="D31" s="70">
        <v>4455</v>
      </c>
      <c r="E31" s="71"/>
      <c r="F31" s="71"/>
      <c r="G31" s="71"/>
      <c r="H31" s="71"/>
      <c r="I31" s="71"/>
      <c r="J31" s="71"/>
      <c r="K31" s="71">
        <f>D31+E31+F31+G31+H31+I31+J31</f>
        <v>4455</v>
      </c>
      <c r="L31" s="71"/>
      <c r="M31" s="71"/>
      <c r="N31" s="71"/>
      <c r="O31" s="71"/>
      <c r="P31" s="71"/>
      <c r="Q31" s="48">
        <f t="shared" si="2"/>
        <v>4455</v>
      </c>
      <c r="R31" s="72">
        <v>7</v>
      </c>
    </row>
    <row r="32" spans="1:18" ht="39.75" customHeight="1">
      <c r="A32" s="68">
        <v>7</v>
      </c>
      <c r="B32" s="69" t="s">
        <v>124</v>
      </c>
      <c r="C32" s="338">
        <v>1</v>
      </c>
      <c r="D32" s="71">
        <v>3674</v>
      </c>
      <c r="E32" s="71"/>
      <c r="F32" s="71"/>
      <c r="G32" s="71"/>
      <c r="H32" s="71"/>
      <c r="I32" s="71"/>
      <c r="J32" s="71"/>
      <c r="K32" s="71">
        <f aca="true" t="shared" si="3" ref="K32:K47">SUM(D32:J32)</f>
        <v>3674</v>
      </c>
      <c r="L32" s="71"/>
      <c r="M32" s="71"/>
      <c r="N32" s="71"/>
      <c r="O32" s="71"/>
      <c r="P32" s="71"/>
      <c r="Q32" s="48">
        <f t="shared" si="2"/>
        <v>3674</v>
      </c>
      <c r="R32" s="72">
        <v>4</v>
      </c>
    </row>
    <row r="33" spans="1:18" ht="39.75" customHeight="1">
      <c r="A33" s="68">
        <v>8</v>
      </c>
      <c r="B33" s="69" t="s">
        <v>203</v>
      </c>
      <c r="C33" s="338">
        <v>1</v>
      </c>
      <c r="D33" s="71">
        <v>3934</v>
      </c>
      <c r="E33" s="71"/>
      <c r="F33" s="71"/>
      <c r="G33" s="71"/>
      <c r="H33" s="71"/>
      <c r="I33" s="71"/>
      <c r="J33" s="71"/>
      <c r="K33" s="71">
        <f t="shared" si="3"/>
        <v>3934</v>
      </c>
      <c r="L33" s="71"/>
      <c r="M33" s="71"/>
      <c r="N33" s="71"/>
      <c r="O33" s="71"/>
      <c r="P33" s="71"/>
      <c r="Q33" s="48">
        <f t="shared" si="2"/>
        <v>3934</v>
      </c>
      <c r="R33" s="72">
        <v>5</v>
      </c>
    </row>
    <row r="34" spans="1:18" ht="39.75" customHeight="1">
      <c r="A34" s="68">
        <v>9</v>
      </c>
      <c r="B34" s="69" t="s">
        <v>14</v>
      </c>
      <c r="C34" s="338">
        <v>0.5</v>
      </c>
      <c r="D34" s="71">
        <v>3674</v>
      </c>
      <c r="E34" s="71"/>
      <c r="F34" s="71"/>
      <c r="G34" s="71"/>
      <c r="H34" s="71"/>
      <c r="I34" s="71"/>
      <c r="J34" s="71"/>
      <c r="K34" s="71">
        <f t="shared" si="3"/>
        <v>3674</v>
      </c>
      <c r="L34" s="71"/>
      <c r="M34" s="71"/>
      <c r="N34" s="71"/>
      <c r="O34" s="71"/>
      <c r="P34" s="71"/>
      <c r="Q34" s="48">
        <f t="shared" si="2"/>
        <v>1837</v>
      </c>
      <c r="R34" s="72">
        <v>4</v>
      </c>
    </row>
    <row r="35" spans="1:18" ht="39.75" customHeight="1">
      <c r="A35" s="68">
        <v>10</v>
      </c>
      <c r="B35" s="92" t="s">
        <v>255</v>
      </c>
      <c r="C35" s="338">
        <v>1</v>
      </c>
      <c r="D35" s="71">
        <v>2893</v>
      </c>
      <c r="E35" s="71"/>
      <c r="F35" s="71"/>
      <c r="G35" s="71"/>
      <c r="H35" s="71"/>
      <c r="I35" s="71"/>
      <c r="J35" s="71"/>
      <c r="K35" s="71">
        <f t="shared" si="3"/>
        <v>2893</v>
      </c>
      <c r="L35" s="71"/>
      <c r="M35" s="71"/>
      <c r="N35" s="71"/>
      <c r="O35" s="73"/>
      <c r="P35" s="71"/>
      <c r="Q35" s="48">
        <f t="shared" si="2"/>
        <v>2893</v>
      </c>
      <c r="R35" s="72">
        <v>1</v>
      </c>
    </row>
    <row r="36" spans="1:18" ht="76.5">
      <c r="A36" s="68">
        <v>11</v>
      </c>
      <c r="B36" s="46" t="s">
        <v>15</v>
      </c>
      <c r="C36" s="345">
        <v>2</v>
      </c>
      <c r="D36" s="48">
        <v>3414</v>
      </c>
      <c r="E36" s="74"/>
      <c r="F36" s="74"/>
      <c r="G36" s="74"/>
      <c r="H36" s="48"/>
      <c r="I36" s="74"/>
      <c r="J36" s="74"/>
      <c r="K36" s="48">
        <f t="shared" si="3"/>
        <v>3414</v>
      </c>
      <c r="L36" s="74"/>
      <c r="M36" s="74"/>
      <c r="N36" s="74"/>
      <c r="O36" s="75"/>
      <c r="P36" s="71"/>
      <c r="Q36" s="48">
        <f t="shared" si="2"/>
        <v>6828</v>
      </c>
      <c r="R36" s="56">
        <v>3</v>
      </c>
    </row>
    <row r="37" spans="1:18" ht="62.25" customHeight="1">
      <c r="A37" s="68">
        <v>12</v>
      </c>
      <c r="B37" s="46" t="s">
        <v>104</v>
      </c>
      <c r="C37" s="345">
        <v>3</v>
      </c>
      <c r="D37" s="48">
        <v>2893</v>
      </c>
      <c r="E37" s="48"/>
      <c r="F37" s="48"/>
      <c r="G37" s="48"/>
      <c r="H37" s="48"/>
      <c r="I37" s="48"/>
      <c r="J37" s="48"/>
      <c r="K37" s="48">
        <f t="shared" si="3"/>
        <v>2893</v>
      </c>
      <c r="L37" s="48"/>
      <c r="M37" s="48"/>
      <c r="N37" s="48"/>
      <c r="O37" s="75"/>
      <c r="P37" s="71"/>
      <c r="Q37" s="48">
        <f t="shared" si="2"/>
        <v>8679</v>
      </c>
      <c r="R37" s="56">
        <v>1</v>
      </c>
    </row>
    <row r="38" spans="1:18" ht="39.75" customHeight="1">
      <c r="A38" s="68">
        <v>13</v>
      </c>
      <c r="B38" s="46" t="s">
        <v>16</v>
      </c>
      <c r="C38" s="350">
        <v>1.75</v>
      </c>
      <c r="D38" s="48">
        <v>3153</v>
      </c>
      <c r="E38" s="48"/>
      <c r="F38" s="48"/>
      <c r="G38" s="48"/>
      <c r="H38" s="48"/>
      <c r="I38" s="48"/>
      <c r="J38" s="48"/>
      <c r="K38" s="48">
        <f t="shared" si="3"/>
        <v>3153</v>
      </c>
      <c r="L38" s="48"/>
      <c r="M38" s="48"/>
      <c r="N38" s="48"/>
      <c r="O38" s="75"/>
      <c r="P38" s="71"/>
      <c r="Q38" s="48">
        <f t="shared" si="2"/>
        <v>5517.75</v>
      </c>
      <c r="R38" s="56">
        <v>2</v>
      </c>
    </row>
    <row r="39" spans="1:18" ht="76.5">
      <c r="A39" s="68">
        <v>14</v>
      </c>
      <c r="B39" s="46" t="s">
        <v>17</v>
      </c>
      <c r="C39" s="345">
        <v>1</v>
      </c>
      <c r="D39" s="48">
        <v>4195</v>
      </c>
      <c r="E39" s="48"/>
      <c r="F39" s="48"/>
      <c r="G39" s="48"/>
      <c r="H39" s="48"/>
      <c r="I39" s="48"/>
      <c r="J39" s="48"/>
      <c r="K39" s="48">
        <f t="shared" si="3"/>
        <v>4195</v>
      </c>
      <c r="L39" s="48"/>
      <c r="M39" s="48"/>
      <c r="N39" s="48"/>
      <c r="O39" s="75"/>
      <c r="P39" s="71"/>
      <c r="Q39" s="48">
        <f t="shared" si="2"/>
        <v>4195</v>
      </c>
      <c r="R39" s="56">
        <v>6</v>
      </c>
    </row>
    <row r="40" spans="1:18" ht="54.75" customHeight="1">
      <c r="A40" s="68">
        <v>15</v>
      </c>
      <c r="B40" s="46" t="s">
        <v>266</v>
      </c>
      <c r="C40" s="350">
        <v>2.75</v>
      </c>
      <c r="D40" s="48">
        <v>3934</v>
      </c>
      <c r="E40" s="74"/>
      <c r="F40" s="74"/>
      <c r="G40" s="74"/>
      <c r="H40" s="48"/>
      <c r="I40" s="74"/>
      <c r="J40" s="74"/>
      <c r="K40" s="48">
        <f t="shared" si="3"/>
        <v>3934</v>
      </c>
      <c r="L40" s="74"/>
      <c r="M40" s="74"/>
      <c r="N40" s="74"/>
      <c r="O40" s="75">
        <f>K40*12%</f>
        <v>472.08</v>
      </c>
      <c r="P40" s="71"/>
      <c r="Q40" s="48">
        <f t="shared" si="2"/>
        <v>12116.72</v>
      </c>
      <c r="R40" s="56">
        <v>5</v>
      </c>
    </row>
    <row r="41" spans="1:18" ht="57.75" customHeight="1">
      <c r="A41" s="68">
        <v>16</v>
      </c>
      <c r="B41" s="69" t="s">
        <v>105</v>
      </c>
      <c r="C41" s="338">
        <v>1</v>
      </c>
      <c r="D41" s="71">
        <v>4455</v>
      </c>
      <c r="E41" s="71"/>
      <c r="F41" s="71"/>
      <c r="G41" s="76"/>
      <c r="H41" s="76"/>
      <c r="I41" s="71"/>
      <c r="J41" s="71"/>
      <c r="K41" s="71">
        <f t="shared" si="3"/>
        <v>4455</v>
      </c>
      <c r="L41" s="71"/>
      <c r="M41" s="71"/>
      <c r="N41" s="71"/>
      <c r="O41" s="73"/>
      <c r="P41" s="71"/>
      <c r="Q41" s="48">
        <f t="shared" si="2"/>
        <v>4455</v>
      </c>
      <c r="R41" s="72">
        <v>7</v>
      </c>
    </row>
    <row r="42" spans="1:18" ht="55.5" customHeight="1">
      <c r="A42" s="68">
        <v>17</v>
      </c>
      <c r="B42" s="77" t="s">
        <v>156</v>
      </c>
      <c r="C42" s="396">
        <v>1</v>
      </c>
      <c r="D42" s="71">
        <v>3934</v>
      </c>
      <c r="E42" s="78"/>
      <c r="F42" s="78"/>
      <c r="G42" s="78"/>
      <c r="H42" s="78"/>
      <c r="I42" s="78"/>
      <c r="J42" s="78"/>
      <c r="K42" s="71">
        <f t="shared" si="3"/>
        <v>3934</v>
      </c>
      <c r="L42" s="78"/>
      <c r="M42" s="78"/>
      <c r="N42" s="78"/>
      <c r="O42" s="400"/>
      <c r="P42" s="71"/>
      <c r="Q42" s="48">
        <f t="shared" si="2"/>
        <v>3934</v>
      </c>
      <c r="R42" s="79">
        <v>5</v>
      </c>
    </row>
    <row r="43" spans="1:18" ht="49.5" customHeight="1">
      <c r="A43" s="68">
        <v>18</v>
      </c>
      <c r="B43" s="80" t="s">
        <v>361</v>
      </c>
      <c r="C43" s="350">
        <v>0.5</v>
      </c>
      <c r="D43" s="71">
        <v>3674</v>
      </c>
      <c r="E43" s="48"/>
      <c r="F43" s="48"/>
      <c r="G43" s="48"/>
      <c r="H43" s="48"/>
      <c r="I43" s="48"/>
      <c r="J43" s="48"/>
      <c r="K43" s="71">
        <f t="shared" si="3"/>
        <v>3674</v>
      </c>
      <c r="L43" s="48"/>
      <c r="M43" s="48"/>
      <c r="N43" s="48"/>
      <c r="O43" s="75">
        <f>K43*12%</f>
        <v>440.88</v>
      </c>
      <c r="P43" s="71"/>
      <c r="Q43" s="48">
        <f t="shared" si="2"/>
        <v>2057.44</v>
      </c>
      <c r="R43" s="56">
        <v>4</v>
      </c>
    </row>
    <row r="44" spans="1:18" ht="49.5" customHeight="1">
      <c r="A44" s="68">
        <v>19</v>
      </c>
      <c r="B44" s="80" t="s">
        <v>362</v>
      </c>
      <c r="C44" s="339">
        <v>0.25</v>
      </c>
      <c r="D44" s="71">
        <v>3674</v>
      </c>
      <c r="E44" s="71"/>
      <c r="F44" s="71"/>
      <c r="G44" s="71"/>
      <c r="H44" s="71"/>
      <c r="I44" s="71"/>
      <c r="J44" s="71"/>
      <c r="K44" s="71">
        <f t="shared" si="3"/>
        <v>3674</v>
      </c>
      <c r="L44" s="473"/>
      <c r="M44" s="48"/>
      <c r="N44" s="71"/>
      <c r="O44" s="75">
        <f>K44*12%</f>
        <v>440.88</v>
      </c>
      <c r="P44" s="71"/>
      <c r="Q44" s="48">
        <f t="shared" si="2"/>
        <v>1028.72</v>
      </c>
      <c r="R44" s="72">
        <v>4</v>
      </c>
    </row>
    <row r="45" spans="1:18" ht="71.25" customHeight="1">
      <c r="A45" s="68">
        <v>20</v>
      </c>
      <c r="B45" s="82" t="s">
        <v>237</v>
      </c>
      <c r="C45" s="338">
        <v>0.5</v>
      </c>
      <c r="D45" s="71">
        <v>3414</v>
      </c>
      <c r="E45" s="83"/>
      <c r="F45" s="83"/>
      <c r="G45" s="83"/>
      <c r="H45" s="71"/>
      <c r="I45" s="83"/>
      <c r="J45" s="83"/>
      <c r="K45" s="71">
        <f t="shared" si="3"/>
        <v>3414</v>
      </c>
      <c r="L45" s="84"/>
      <c r="M45" s="74"/>
      <c r="N45" s="83"/>
      <c r="O45" s="73">
        <f>K45*12%</f>
        <v>409.68</v>
      </c>
      <c r="P45" s="71"/>
      <c r="Q45" s="48">
        <f t="shared" si="2"/>
        <v>1911.84</v>
      </c>
      <c r="R45" s="72">
        <v>3</v>
      </c>
    </row>
    <row r="46" spans="1:18" ht="21" customHeight="1" hidden="1">
      <c r="A46" s="68">
        <v>20</v>
      </c>
      <c r="B46" s="92"/>
      <c r="C46" s="352"/>
      <c r="D46" s="85"/>
      <c r="E46" s="86"/>
      <c r="F46" s="86"/>
      <c r="G46" s="86"/>
      <c r="H46" s="87"/>
      <c r="I46" s="86"/>
      <c r="J46" s="86"/>
      <c r="K46" s="85">
        <f t="shared" si="3"/>
        <v>0</v>
      </c>
      <c r="L46" s="86"/>
      <c r="M46" s="86"/>
      <c r="N46" s="86"/>
      <c r="O46" s="88"/>
      <c r="P46" s="86"/>
      <c r="Q46" s="48">
        <f t="shared" si="2"/>
        <v>0</v>
      </c>
      <c r="R46" s="90"/>
    </row>
    <row r="47" spans="1:18" ht="39" customHeight="1" hidden="1">
      <c r="A47" s="68">
        <v>21</v>
      </c>
      <c r="B47" s="92" t="s">
        <v>255</v>
      </c>
      <c r="C47" s="352"/>
      <c r="D47" s="85"/>
      <c r="E47" s="86"/>
      <c r="F47" s="86"/>
      <c r="G47" s="86"/>
      <c r="H47" s="89"/>
      <c r="I47" s="86"/>
      <c r="J47" s="86"/>
      <c r="K47" s="85">
        <f t="shared" si="3"/>
        <v>0</v>
      </c>
      <c r="L47" s="86"/>
      <c r="M47" s="86"/>
      <c r="N47" s="86"/>
      <c r="O47" s="88"/>
      <c r="P47" s="86"/>
      <c r="Q47" s="48">
        <f t="shared" si="2"/>
        <v>0</v>
      </c>
      <c r="R47" s="90">
        <v>1</v>
      </c>
    </row>
    <row r="48" spans="1:18" ht="80.25" customHeight="1">
      <c r="A48" s="93"/>
      <c r="B48" s="94" t="s">
        <v>18</v>
      </c>
      <c r="C48" s="340">
        <f>C47+C45+C43+C42+C41+C40+C39+C38+C37+C36+C35+C34+C33+C32+C31+C28+C26+C30+C27+C29+C44</f>
        <v>21.75</v>
      </c>
      <c r="D48" s="401">
        <f>D47+D45+D43+D42+D41+D40+D39+D38+D37+D36+D35+D34+D33+D32+D31+D28+D26+D30</f>
        <v>66971</v>
      </c>
      <c r="E48" s="401"/>
      <c r="F48" s="401"/>
      <c r="G48" s="401"/>
      <c r="H48" s="401"/>
      <c r="I48" s="401"/>
      <c r="J48" s="401"/>
      <c r="K48" s="401">
        <f>K47+K45+K43+K42+K41+K40+K39+K38+K37+K36+K35+K34+K33+K32+K31+K28+K26+K30+K29+K44</f>
        <v>74840</v>
      </c>
      <c r="L48" s="401"/>
      <c r="M48" s="401"/>
      <c r="N48" s="401"/>
      <c r="O48" s="401"/>
      <c r="P48" s="401"/>
      <c r="Q48" s="401">
        <f>Q26+Q27+Q28+Q30+Q31+Q32+Q33+Q34+Q35+Q36+Q37+Q38+Q39+Q40+Q41+Q42+Q43+Q45+Q47+Q29+Q44</f>
        <v>85148.97</v>
      </c>
      <c r="R48" s="90"/>
    </row>
    <row r="49" spans="1:18" ht="25.5" hidden="1">
      <c r="A49" s="44"/>
      <c r="B49" s="36"/>
      <c r="C49" s="34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5.5" hidden="1">
      <c r="A50" s="44"/>
      <c r="B50" s="36"/>
      <c r="C50" s="34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10.25" customHeight="1">
      <c r="A51" s="556" t="s">
        <v>19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</row>
    <row r="52" spans="1:18" ht="38.25" hidden="1">
      <c r="A52" s="96"/>
      <c r="B52" s="65"/>
      <c r="C52" s="41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29" s="22" customFormat="1" ht="37.5">
      <c r="A53" s="66">
        <v>1</v>
      </c>
      <c r="B53" s="67">
        <v>2</v>
      </c>
      <c r="C53" s="349">
        <v>3</v>
      </c>
      <c r="D53" s="67">
        <v>4</v>
      </c>
      <c r="E53" s="67">
        <v>5</v>
      </c>
      <c r="F53" s="67">
        <v>6</v>
      </c>
      <c r="G53" s="67">
        <v>7</v>
      </c>
      <c r="H53" s="67">
        <v>8</v>
      </c>
      <c r="I53" s="67">
        <v>9</v>
      </c>
      <c r="J53" s="67">
        <v>10</v>
      </c>
      <c r="K53" s="67">
        <v>11</v>
      </c>
      <c r="L53" s="67">
        <v>12</v>
      </c>
      <c r="M53" s="67">
        <v>13</v>
      </c>
      <c r="N53" s="67">
        <v>14</v>
      </c>
      <c r="O53" s="67">
        <v>15</v>
      </c>
      <c r="P53" s="67">
        <v>16</v>
      </c>
      <c r="Q53" s="67">
        <v>17</v>
      </c>
      <c r="R53" s="67">
        <v>18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17" customFormat="1" ht="76.5">
      <c r="A54" s="97">
        <v>1</v>
      </c>
      <c r="B54" s="98" t="s">
        <v>106</v>
      </c>
      <c r="C54" s="352">
        <v>0.75</v>
      </c>
      <c r="D54" s="85">
        <v>3153</v>
      </c>
      <c r="E54" s="85"/>
      <c r="F54" s="85"/>
      <c r="G54" s="85"/>
      <c r="H54" s="99">
        <f>D54*20%</f>
        <v>630.6</v>
      </c>
      <c r="I54" s="85"/>
      <c r="J54" s="85"/>
      <c r="K54" s="85">
        <f>SUM(D54:J54)</f>
        <v>3783.6</v>
      </c>
      <c r="L54" s="85"/>
      <c r="M54" s="85"/>
      <c r="N54" s="85"/>
      <c r="O54" s="85">
        <f>K54*12%</f>
        <v>454.032</v>
      </c>
      <c r="P54" s="90"/>
      <c r="Q54" s="89">
        <f>SUM(K54:P54)*C54</f>
        <v>3178.2239999999997</v>
      </c>
      <c r="R54" s="90">
        <v>2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38.25">
      <c r="A55" s="538" t="s">
        <v>18</v>
      </c>
      <c r="B55" s="540"/>
      <c r="C55" s="353">
        <f>SUM(C54:C54)</f>
        <v>0.75</v>
      </c>
      <c r="D55" s="100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01">
        <f>Q54</f>
        <v>3178.2239999999997</v>
      </c>
      <c r="R55" s="7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3.75" customHeight="1">
      <c r="A56" s="284"/>
      <c r="B56" s="284"/>
      <c r="C56" s="354"/>
      <c r="D56" s="181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335"/>
      <c r="R56" s="184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18" ht="68.25" customHeight="1">
      <c r="A57" s="556" t="s">
        <v>60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</row>
    <row r="58" spans="1:18" ht="3.75" customHeight="1">
      <c r="A58" s="96"/>
      <c r="B58" s="65"/>
      <c r="C58" s="419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ht="37.5">
      <c r="A59" s="66">
        <v>1</v>
      </c>
      <c r="B59" s="67">
        <v>2</v>
      </c>
      <c r="C59" s="349">
        <v>3</v>
      </c>
      <c r="D59" s="67">
        <v>4</v>
      </c>
      <c r="E59" s="67">
        <v>5</v>
      </c>
      <c r="F59" s="67">
        <v>6</v>
      </c>
      <c r="G59" s="67">
        <v>7</v>
      </c>
      <c r="H59" s="67">
        <v>8</v>
      </c>
      <c r="I59" s="67">
        <v>9</v>
      </c>
      <c r="J59" s="67">
        <v>10</v>
      </c>
      <c r="K59" s="67">
        <v>11</v>
      </c>
      <c r="L59" s="67">
        <v>12</v>
      </c>
      <c r="M59" s="67">
        <v>13</v>
      </c>
      <c r="N59" s="67">
        <v>14</v>
      </c>
      <c r="O59" s="67">
        <v>15</v>
      </c>
      <c r="P59" s="67">
        <v>16</v>
      </c>
      <c r="Q59" s="67">
        <v>17</v>
      </c>
      <c r="R59" s="67">
        <v>18</v>
      </c>
    </row>
    <row r="60" spans="1:18" ht="44.25" customHeight="1">
      <c r="A60" s="91">
        <v>1</v>
      </c>
      <c r="B60" s="69" t="s">
        <v>204</v>
      </c>
      <c r="C60" s="338">
        <v>1</v>
      </c>
      <c r="D60" s="71">
        <v>3414</v>
      </c>
      <c r="E60" s="71"/>
      <c r="F60" s="71"/>
      <c r="G60" s="71"/>
      <c r="H60" s="71"/>
      <c r="I60" s="71"/>
      <c r="J60" s="71"/>
      <c r="K60" s="71">
        <f>SUM(D60:J60)</f>
        <v>3414</v>
      </c>
      <c r="L60" s="71"/>
      <c r="M60" s="71"/>
      <c r="N60" s="71"/>
      <c r="O60" s="71">
        <f>K60*12%</f>
        <v>409.68</v>
      </c>
      <c r="P60" s="100"/>
      <c r="Q60" s="48">
        <f>SUM(K60:P60)*C60</f>
        <v>3823.68</v>
      </c>
      <c r="R60" s="72">
        <v>3</v>
      </c>
    </row>
    <row r="61" spans="1:18" ht="51" customHeight="1">
      <c r="A61" s="91">
        <v>2</v>
      </c>
      <c r="B61" s="69" t="s">
        <v>20</v>
      </c>
      <c r="C61" s="338">
        <v>1.5</v>
      </c>
      <c r="D61" s="71">
        <v>3674</v>
      </c>
      <c r="E61" s="71"/>
      <c r="F61" s="71"/>
      <c r="G61" s="71"/>
      <c r="H61" s="71"/>
      <c r="I61" s="71"/>
      <c r="J61" s="71"/>
      <c r="K61" s="71">
        <f>SUM(D61:J61)</f>
        <v>3674</v>
      </c>
      <c r="L61" s="71"/>
      <c r="M61" s="71"/>
      <c r="N61" s="71"/>
      <c r="O61" s="71">
        <f>K61*12%</f>
        <v>440.88</v>
      </c>
      <c r="P61" s="100"/>
      <c r="Q61" s="48">
        <f>SUM(K61:P61)*C61</f>
        <v>6172.32</v>
      </c>
      <c r="R61" s="72">
        <v>4</v>
      </c>
    </row>
    <row r="62" spans="1:18" ht="42.75" customHeight="1">
      <c r="A62" s="91">
        <v>3</v>
      </c>
      <c r="B62" s="69" t="s">
        <v>21</v>
      </c>
      <c r="C62" s="338">
        <v>2</v>
      </c>
      <c r="D62" s="71">
        <v>3153</v>
      </c>
      <c r="E62" s="71"/>
      <c r="F62" s="71"/>
      <c r="G62" s="71"/>
      <c r="H62" s="71"/>
      <c r="I62" s="71"/>
      <c r="J62" s="71"/>
      <c r="K62" s="71">
        <f>SUM(D62:J62)</f>
        <v>3153</v>
      </c>
      <c r="L62" s="71"/>
      <c r="M62" s="71"/>
      <c r="N62" s="71"/>
      <c r="O62" s="71"/>
      <c r="P62" s="100"/>
      <c r="Q62" s="48">
        <f>SUM(K62:P62)*C62</f>
        <v>6306</v>
      </c>
      <c r="R62" s="72">
        <v>2</v>
      </c>
    </row>
    <row r="63" spans="1:18" ht="29.25" customHeight="1">
      <c r="A63" s="538" t="s">
        <v>18</v>
      </c>
      <c r="B63" s="540"/>
      <c r="C63" s="355">
        <f>SUM(C60:C62)</f>
        <v>4.5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>
        <f>SUM(Q60:Q62)</f>
        <v>16302</v>
      </c>
      <c r="R63" s="72"/>
    </row>
    <row r="64" spans="1:18" ht="33.75" customHeight="1" hidden="1">
      <c r="A64" s="65"/>
      <c r="B64" s="65"/>
      <c r="C64" s="41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ht="33.75" customHeight="1" hidden="1">
      <c r="A65" s="65"/>
      <c r="B65" s="65"/>
      <c r="C65" s="41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ht="33.75" customHeight="1">
      <c r="A66" s="573" t="s">
        <v>216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</row>
    <row r="67" spans="1:18" ht="32.25" customHeight="1">
      <c r="A67" s="96"/>
      <c r="B67" s="65"/>
      <c r="C67" s="419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33.75" customHeight="1">
      <c r="A68" s="66">
        <v>1</v>
      </c>
      <c r="B68" s="67">
        <v>2</v>
      </c>
      <c r="C68" s="349">
        <v>3</v>
      </c>
      <c r="D68" s="67">
        <v>4</v>
      </c>
      <c r="E68" s="67">
        <v>5</v>
      </c>
      <c r="F68" s="67">
        <v>6</v>
      </c>
      <c r="G68" s="67">
        <v>7</v>
      </c>
      <c r="H68" s="67">
        <v>8</v>
      </c>
      <c r="I68" s="67">
        <v>9</v>
      </c>
      <c r="J68" s="67">
        <v>10</v>
      </c>
      <c r="K68" s="67">
        <v>11</v>
      </c>
      <c r="L68" s="67">
        <v>12</v>
      </c>
      <c r="M68" s="67">
        <v>13</v>
      </c>
      <c r="N68" s="67">
        <v>14</v>
      </c>
      <c r="O68" s="67">
        <v>15</v>
      </c>
      <c r="P68" s="67">
        <v>16</v>
      </c>
      <c r="Q68" s="67">
        <v>17</v>
      </c>
      <c r="R68" s="67">
        <v>18</v>
      </c>
    </row>
    <row r="69" spans="1:18" ht="48" customHeight="1">
      <c r="A69" s="68">
        <v>1</v>
      </c>
      <c r="B69" s="69" t="s">
        <v>22</v>
      </c>
      <c r="C69" s="338">
        <v>0.5</v>
      </c>
      <c r="D69" s="71">
        <v>4455</v>
      </c>
      <c r="E69" s="71"/>
      <c r="F69" s="71"/>
      <c r="G69" s="71"/>
      <c r="H69" s="71"/>
      <c r="I69" s="71"/>
      <c r="J69" s="71"/>
      <c r="K69" s="71">
        <f>SUM(D69:J69)</f>
        <v>4455</v>
      </c>
      <c r="L69" s="71"/>
      <c r="M69" s="71"/>
      <c r="N69" s="71"/>
      <c r="O69" s="71"/>
      <c r="P69" s="100"/>
      <c r="Q69" s="48">
        <f>SUM(K69:P69)*C69</f>
        <v>2227.5</v>
      </c>
      <c r="R69" s="90">
        <v>7</v>
      </c>
    </row>
    <row r="70" spans="1:18" ht="90.75" customHeight="1">
      <c r="A70" s="68">
        <v>2</v>
      </c>
      <c r="B70" s="69" t="s">
        <v>293</v>
      </c>
      <c r="C70" s="339">
        <v>1</v>
      </c>
      <c r="D70" s="71">
        <v>3674</v>
      </c>
      <c r="E70" s="71"/>
      <c r="F70" s="71"/>
      <c r="G70" s="71"/>
      <c r="H70" s="71"/>
      <c r="I70" s="71">
        <f>D70*20%</f>
        <v>734.8000000000001</v>
      </c>
      <c r="J70" s="71"/>
      <c r="K70" s="71">
        <f>SUM(D70:J70)</f>
        <v>4408.8</v>
      </c>
      <c r="L70" s="71"/>
      <c r="M70" s="85">
        <f>D70*25%</f>
        <v>918.5</v>
      </c>
      <c r="N70" s="71"/>
      <c r="O70" s="71"/>
      <c r="P70" s="100"/>
      <c r="Q70" s="48">
        <f>SUM(K70:P70)*C70</f>
        <v>5327.3</v>
      </c>
      <c r="R70" s="72">
        <v>4</v>
      </c>
    </row>
    <row r="71" spans="1:18" ht="44.25" customHeight="1">
      <c r="A71" s="68">
        <v>3</v>
      </c>
      <c r="B71" s="69" t="s">
        <v>294</v>
      </c>
      <c r="C71" s="339">
        <v>1</v>
      </c>
      <c r="D71" s="71">
        <v>3674</v>
      </c>
      <c r="E71" s="71"/>
      <c r="F71" s="71"/>
      <c r="G71" s="71"/>
      <c r="H71" s="71"/>
      <c r="I71" s="71">
        <f>D71*20%</f>
        <v>734.8000000000001</v>
      </c>
      <c r="J71" s="71"/>
      <c r="K71" s="71">
        <f aca="true" t="shared" si="4" ref="K71:K76">SUM(D71:J71)</f>
        <v>4408.8</v>
      </c>
      <c r="L71" s="71"/>
      <c r="M71" s="85">
        <f aca="true" t="shared" si="5" ref="M71:M76">D71*25%</f>
        <v>918.5</v>
      </c>
      <c r="N71" s="71"/>
      <c r="O71" s="71"/>
      <c r="P71" s="100"/>
      <c r="Q71" s="48">
        <f aca="true" t="shared" si="6" ref="Q71:Q76">SUM(K71:P71)*C71</f>
        <v>5327.3</v>
      </c>
      <c r="R71" s="72">
        <v>4</v>
      </c>
    </row>
    <row r="72" spans="1:18" ht="44.25" customHeight="1">
      <c r="A72" s="68">
        <v>4</v>
      </c>
      <c r="B72" s="69" t="s">
        <v>295</v>
      </c>
      <c r="C72" s="339">
        <v>1</v>
      </c>
      <c r="D72" s="71">
        <v>3674</v>
      </c>
      <c r="E72" s="71"/>
      <c r="F72" s="71"/>
      <c r="G72" s="71"/>
      <c r="H72" s="71"/>
      <c r="I72" s="71">
        <f>D72*20%</f>
        <v>734.8000000000001</v>
      </c>
      <c r="J72" s="71"/>
      <c r="K72" s="71">
        <f t="shared" si="4"/>
        <v>4408.8</v>
      </c>
      <c r="L72" s="71"/>
      <c r="M72" s="85">
        <f t="shared" si="5"/>
        <v>918.5</v>
      </c>
      <c r="N72" s="71"/>
      <c r="O72" s="71"/>
      <c r="P72" s="100"/>
      <c r="Q72" s="48">
        <f t="shared" si="6"/>
        <v>5327.3</v>
      </c>
      <c r="R72" s="72">
        <v>4</v>
      </c>
    </row>
    <row r="73" spans="1:18" ht="44.25" customHeight="1">
      <c r="A73" s="68">
        <v>5</v>
      </c>
      <c r="B73" s="69" t="s">
        <v>296</v>
      </c>
      <c r="C73" s="339">
        <v>1</v>
      </c>
      <c r="D73" s="71">
        <v>3674</v>
      </c>
      <c r="E73" s="71"/>
      <c r="F73" s="71"/>
      <c r="G73" s="71"/>
      <c r="H73" s="71"/>
      <c r="I73" s="71">
        <f>D73*20%</f>
        <v>734.8000000000001</v>
      </c>
      <c r="J73" s="71"/>
      <c r="K73" s="71">
        <f t="shared" si="4"/>
        <v>4408.8</v>
      </c>
      <c r="L73" s="71"/>
      <c r="M73" s="85">
        <f t="shared" si="5"/>
        <v>918.5</v>
      </c>
      <c r="N73" s="71"/>
      <c r="O73" s="71"/>
      <c r="P73" s="100"/>
      <c r="Q73" s="48">
        <f t="shared" si="6"/>
        <v>5327.3</v>
      </c>
      <c r="R73" s="72">
        <v>4</v>
      </c>
    </row>
    <row r="74" spans="1:18" ht="44.25" customHeight="1">
      <c r="A74" s="68">
        <v>6</v>
      </c>
      <c r="B74" s="69" t="s">
        <v>297</v>
      </c>
      <c r="C74" s="339">
        <v>1.5</v>
      </c>
      <c r="D74" s="71">
        <v>3153</v>
      </c>
      <c r="E74" s="71"/>
      <c r="F74" s="71"/>
      <c r="G74" s="71"/>
      <c r="H74" s="71"/>
      <c r="I74" s="71"/>
      <c r="J74" s="71"/>
      <c r="K74" s="71">
        <f t="shared" si="4"/>
        <v>3153</v>
      </c>
      <c r="L74" s="71"/>
      <c r="M74" s="85">
        <f t="shared" si="5"/>
        <v>788.25</v>
      </c>
      <c r="N74" s="71"/>
      <c r="O74" s="71"/>
      <c r="P74" s="100"/>
      <c r="Q74" s="48">
        <f t="shared" si="6"/>
        <v>5911.875</v>
      </c>
      <c r="R74" s="72">
        <v>2</v>
      </c>
    </row>
    <row r="75" spans="1:18" ht="44.25" customHeight="1">
      <c r="A75" s="68">
        <v>7</v>
      </c>
      <c r="B75" s="69" t="s">
        <v>298</v>
      </c>
      <c r="C75" s="339">
        <v>0.5</v>
      </c>
      <c r="D75" s="71">
        <v>3153</v>
      </c>
      <c r="E75" s="71"/>
      <c r="F75" s="71"/>
      <c r="G75" s="71"/>
      <c r="H75" s="71"/>
      <c r="I75" s="71"/>
      <c r="J75" s="71"/>
      <c r="K75" s="71">
        <f t="shared" si="4"/>
        <v>3153</v>
      </c>
      <c r="L75" s="71"/>
      <c r="M75" s="85">
        <f t="shared" si="5"/>
        <v>788.25</v>
      </c>
      <c r="N75" s="71"/>
      <c r="O75" s="71"/>
      <c r="P75" s="100"/>
      <c r="Q75" s="48">
        <f t="shared" si="6"/>
        <v>1970.625</v>
      </c>
      <c r="R75" s="72">
        <v>2</v>
      </c>
    </row>
    <row r="76" spans="1:18" ht="44.25" customHeight="1">
      <c r="A76" s="68">
        <v>8</v>
      </c>
      <c r="B76" s="69" t="s">
        <v>299</v>
      </c>
      <c r="C76" s="339">
        <v>0.5</v>
      </c>
      <c r="D76" s="71">
        <v>3153</v>
      </c>
      <c r="E76" s="71"/>
      <c r="F76" s="71"/>
      <c r="G76" s="71"/>
      <c r="H76" s="71"/>
      <c r="I76" s="71"/>
      <c r="J76" s="71"/>
      <c r="K76" s="71">
        <f t="shared" si="4"/>
        <v>3153</v>
      </c>
      <c r="L76" s="71"/>
      <c r="M76" s="85">
        <f t="shared" si="5"/>
        <v>788.25</v>
      </c>
      <c r="N76" s="71"/>
      <c r="O76" s="71"/>
      <c r="P76" s="100"/>
      <c r="Q76" s="48">
        <f t="shared" si="6"/>
        <v>1970.625</v>
      </c>
      <c r="R76" s="72">
        <v>2</v>
      </c>
    </row>
    <row r="77" spans="1:18" ht="93" customHeight="1">
      <c r="A77" s="507" t="s">
        <v>18</v>
      </c>
      <c r="B77" s="508"/>
      <c r="C77" s="340">
        <f>C69+C70+C71+C72+C73+C74+C75+C76</f>
        <v>7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198">
        <f>Q69+Q70+Q71+Q72+Q73+Q74+Q75+Q76</f>
        <v>33389.825</v>
      </c>
      <c r="R77" s="94"/>
    </row>
    <row r="78" spans="1:18" ht="33.75" customHeight="1" hidden="1">
      <c r="A78" s="65"/>
      <c r="B78" s="65"/>
      <c r="C78" s="41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ht="33.75" customHeight="1" hidden="1">
      <c r="A79" s="65"/>
      <c r="B79" s="65"/>
      <c r="C79" s="419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ht="33.75" customHeight="1" hidden="1">
      <c r="A80" s="65"/>
      <c r="B80" s="65"/>
      <c r="C80" s="41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ht="33.75" customHeight="1" hidden="1">
      <c r="A81" s="65"/>
      <c r="B81" s="65"/>
      <c r="C81" s="41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ht="33.75" customHeight="1" hidden="1">
      <c r="A82" s="65"/>
      <c r="B82" s="65"/>
      <c r="C82" s="41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ht="32.25" customHeight="1" hidden="1">
      <c r="A83" s="65"/>
      <c r="B83" s="65"/>
      <c r="C83" s="419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ht="11.25" customHeight="1" hidden="1">
      <c r="A84" s="65"/>
      <c r="B84" s="65"/>
      <c r="C84" s="41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ht="33.75" customHeight="1" hidden="1">
      <c r="A85" s="65"/>
      <c r="B85" s="65"/>
      <c r="C85" s="41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ht="33.75" customHeight="1" hidden="1">
      <c r="A86" s="65"/>
      <c r="B86" s="65"/>
      <c r="C86" s="41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ht="33.75" customHeight="1" hidden="1">
      <c r="A87" s="65"/>
      <c r="B87" s="65"/>
      <c r="C87" s="419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ht="33.75" customHeight="1" hidden="1">
      <c r="A88" s="65"/>
      <c r="B88" s="65"/>
      <c r="C88" s="41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ht="33.75" customHeight="1" hidden="1">
      <c r="A89" s="65"/>
      <c r="B89" s="65"/>
      <c r="C89" s="41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ht="33.75" customHeight="1" hidden="1">
      <c r="A90" s="65"/>
      <c r="B90" s="65"/>
      <c r="C90" s="419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ht="37.5" hidden="1">
      <c r="A91" s="65"/>
      <c r="B91" s="65"/>
      <c r="C91" s="41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ht="37.5" hidden="1">
      <c r="A92" s="65"/>
      <c r="B92" s="65"/>
      <c r="C92" s="41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ht="37.5" hidden="1">
      <c r="A93" s="65"/>
      <c r="B93" s="65"/>
      <c r="C93" s="41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ht="37.5" hidden="1">
      <c r="A94" s="65"/>
      <c r="B94" s="65"/>
      <c r="C94" s="41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ht="4.5" customHeight="1" hidden="1">
      <c r="A95" s="65"/>
      <c r="B95" s="65"/>
      <c r="C95" s="419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ht="39.75" customHeight="1" hidden="1">
      <c r="A96" s="65"/>
      <c r="B96" s="65"/>
      <c r="C96" s="41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ht="408.75" customHeight="1">
      <c r="A97" s="65"/>
      <c r="B97" s="65"/>
      <c r="C97" s="419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ht="78.75" customHeight="1">
      <c r="A98" s="65"/>
      <c r="B98" s="65"/>
      <c r="C98" s="419"/>
      <c r="D98" s="65"/>
      <c r="E98" s="65"/>
      <c r="F98" s="65"/>
      <c r="G98" s="102" t="s">
        <v>136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ht="36" customHeight="1">
      <c r="A99" s="531" t="s">
        <v>1</v>
      </c>
      <c r="B99" s="531" t="s">
        <v>2</v>
      </c>
      <c r="C99" s="549" t="s">
        <v>3</v>
      </c>
      <c r="D99" s="531" t="s">
        <v>12</v>
      </c>
      <c r="E99" s="559" t="s">
        <v>127</v>
      </c>
      <c r="F99" s="560"/>
      <c r="G99" s="560"/>
      <c r="H99" s="560"/>
      <c r="I99" s="560"/>
      <c r="J99" s="566"/>
      <c r="K99" s="531" t="s">
        <v>128</v>
      </c>
      <c r="L99" s="559" t="s">
        <v>129</v>
      </c>
      <c r="M99" s="560"/>
      <c r="N99" s="560"/>
      <c r="O99" s="537" t="s">
        <v>132</v>
      </c>
      <c r="P99" s="537"/>
      <c r="Q99" s="531" t="s">
        <v>4</v>
      </c>
      <c r="R99" s="531" t="s">
        <v>5</v>
      </c>
    </row>
    <row r="100" spans="1:18" ht="166.5" customHeight="1">
      <c r="A100" s="532"/>
      <c r="B100" s="532"/>
      <c r="C100" s="550"/>
      <c r="D100" s="532"/>
      <c r="E100" s="300" t="s">
        <v>6</v>
      </c>
      <c r="F100" s="300" t="s">
        <v>146</v>
      </c>
      <c r="G100" s="300" t="s">
        <v>7</v>
      </c>
      <c r="H100" s="300" t="s">
        <v>8</v>
      </c>
      <c r="I100" s="300" t="s">
        <v>145</v>
      </c>
      <c r="J100" s="300" t="s">
        <v>10</v>
      </c>
      <c r="K100" s="548"/>
      <c r="L100" s="300" t="s">
        <v>130</v>
      </c>
      <c r="M100" s="300" t="s">
        <v>131</v>
      </c>
      <c r="N100" s="300" t="s">
        <v>119</v>
      </c>
      <c r="O100" s="300" t="s">
        <v>133</v>
      </c>
      <c r="P100" s="300" t="s">
        <v>206</v>
      </c>
      <c r="Q100" s="532"/>
      <c r="R100" s="532"/>
    </row>
    <row r="101" spans="1:18" ht="67.5" customHeight="1">
      <c r="A101" s="91">
        <v>1</v>
      </c>
      <c r="B101" s="103">
        <v>2</v>
      </c>
      <c r="C101" s="356">
        <v>3</v>
      </c>
      <c r="D101" s="103">
        <v>4</v>
      </c>
      <c r="E101" s="103">
        <v>5</v>
      </c>
      <c r="F101" s="103">
        <v>6</v>
      </c>
      <c r="G101" s="103">
        <v>7</v>
      </c>
      <c r="H101" s="103">
        <v>8</v>
      </c>
      <c r="I101" s="103">
        <v>9</v>
      </c>
      <c r="J101" s="103">
        <v>10</v>
      </c>
      <c r="K101" s="103">
        <v>11</v>
      </c>
      <c r="L101" s="103">
        <v>12</v>
      </c>
      <c r="M101" s="103">
        <v>13</v>
      </c>
      <c r="N101" s="103">
        <v>14</v>
      </c>
      <c r="O101" s="103">
        <v>15</v>
      </c>
      <c r="P101" s="103">
        <v>16</v>
      </c>
      <c r="Q101" s="103">
        <v>17</v>
      </c>
      <c r="R101" s="103">
        <v>18</v>
      </c>
    </row>
    <row r="102" spans="1:18" ht="42.75" customHeight="1">
      <c r="A102" s="53">
        <v>1</v>
      </c>
      <c r="B102" s="105" t="s">
        <v>27</v>
      </c>
      <c r="C102" s="357">
        <v>1</v>
      </c>
      <c r="D102" s="390">
        <f>D16</f>
        <v>35231</v>
      </c>
      <c r="E102" s="107"/>
      <c r="F102" s="107"/>
      <c r="G102" s="107"/>
      <c r="H102" s="107"/>
      <c r="I102" s="107"/>
      <c r="J102" s="107">
        <f>D102*0.15</f>
        <v>5284.65</v>
      </c>
      <c r="K102" s="47">
        <f aca="true" t="shared" si="7" ref="K102:K111">SUM(D102:J102)</f>
        <v>40515.65</v>
      </c>
      <c r="L102" s="47"/>
      <c r="M102" s="108"/>
      <c r="N102" s="107"/>
      <c r="O102" s="107"/>
      <c r="P102" s="107"/>
      <c r="Q102" s="48">
        <f aca="true" t="shared" si="8" ref="Q102:Q111">SUM(K102:P102)*C102</f>
        <v>40515.65</v>
      </c>
      <c r="R102" s="81" t="s">
        <v>85</v>
      </c>
    </row>
    <row r="103" spans="1:18" ht="41.25" customHeight="1">
      <c r="A103" s="53">
        <v>2</v>
      </c>
      <c r="B103" s="69" t="s">
        <v>28</v>
      </c>
      <c r="C103" s="338">
        <v>1</v>
      </c>
      <c r="D103" s="109">
        <v>5265</v>
      </c>
      <c r="E103" s="71"/>
      <c r="F103" s="107"/>
      <c r="G103" s="71"/>
      <c r="H103" s="71"/>
      <c r="I103" s="71"/>
      <c r="J103" s="71"/>
      <c r="K103" s="47">
        <f t="shared" si="7"/>
        <v>5265</v>
      </c>
      <c r="L103" s="71"/>
      <c r="M103" s="71"/>
      <c r="N103" s="71"/>
      <c r="O103" s="71"/>
      <c r="P103" s="71"/>
      <c r="Q103" s="48">
        <f t="shared" si="8"/>
        <v>5265</v>
      </c>
      <c r="R103" s="72">
        <v>10</v>
      </c>
    </row>
    <row r="104" spans="1:18" ht="45.75" customHeight="1">
      <c r="A104" s="53">
        <v>3</v>
      </c>
      <c r="B104" s="69" t="s">
        <v>157</v>
      </c>
      <c r="C104" s="338">
        <v>0.5</v>
      </c>
      <c r="D104" s="109">
        <v>5265</v>
      </c>
      <c r="E104" s="71"/>
      <c r="F104" s="107"/>
      <c r="G104" s="71"/>
      <c r="H104" s="71"/>
      <c r="I104" s="71"/>
      <c r="J104" s="71"/>
      <c r="K104" s="47">
        <f t="shared" si="7"/>
        <v>5265</v>
      </c>
      <c r="L104" s="71"/>
      <c r="M104" s="71"/>
      <c r="N104" s="71"/>
      <c r="O104" s="71"/>
      <c r="P104" s="71"/>
      <c r="Q104" s="48">
        <f t="shared" si="8"/>
        <v>2632.5</v>
      </c>
      <c r="R104" s="72">
        <v>10</v>
      </c>
    </row>
    <row r="105" spans="1:18" ht="57.75" customHeight="1">
      <c r="A105" s="53">
        <v>4</v>
      </c>
      <c r="B105" s="337" t="s">
        <v>137</v>
      </c>
      <c r="C105" s="338">
        <v>0.5</v>
      </c>
      <c r="D105" s="109">
        <v>5005</v>
      </c>
      <c r="E105" s="71"/>
      <c r="F105" s="107"/>
      <c r="G105" s="71"/>
      <c r="H105" s="71"/>
      <c r="I105" s="71"/>
      <c r="J105" s="71"/>
      <c r="K105" s="47">
        <f t="shared" si="7"/>
        <v>5005</v>
      </c>
      <c r="L105" s="71"/>
      <c r="M105" s="71"/>
      <c r="N105" s="71"/>
      <c r="O105" s="71"/>
      <c r="P105" s="71"/>
      <c r="Q105" s="48">
        <f t="shared" si="8"/>
        <v>2502.5</v>
      </c>
      <c r="R105" s="72">
        <v>9</v>
      </c>
    </row>
    <row r="106" spans="1:18" ht="38.25">
      <c r="A106" s="53">
        <v>5</v>
      </c>
      <c r="B106" s="337" t="s">
        <v>221</v>
      </c>
      <c r="C106" s="338">
        <v>0.5</v>
      </c>
      <c r="D106" s="109">
        <v>5005</v>
      </c>
      <c r="E106" s="71"/>
      <c r="F106" s="107"/>
      <c r="G106" s="71"/>
      <c r="H106" s="71"/>
      <c r="I106" s="71"/>
      <c r="J106" s="71"/>
      <c r="K106" s="47">
        <f t="shared" si="7"/>
        <v>5005</v>
      </c>
      <c r="L106" s="71"/>
      <c r="M106" s="71"/>
      <c r="N106" s="71"/>
      <c r="O106" s="71"/>
      <c r="P106" s="71"/>
      <c r="Q106" s="48">
        <f t="shared" si="8"/>
        <v>2502.5</v>
      </c>
      <c r="R106" s="72">
        <v>9</v>
      </c>
    </row>
    <row r="107" spans="1:18" ht="43.5" customHeight="1">
      <c r="A107" s="53">
        <v>6</v>
      </c>
      <c r="B107" s="336" t="s">
        <v>138</v>
      </c>
      <c r="C107" s="338">
        <v>0.5</v>
      </c>
      <c r="D107" s="109">
        <v>5005</v>
      </c>
      <c r="E107" s="71"/>
      <c r="F107" s="107"/>
      <c r="G107" s="71"/>
      <c r="H107" s="71"/>
      <c r="I107" s="71"/>
      <c r="J107" s="71"/>
      <c r="K107" s="47">
        <f t="shared" si="7"/>
        <v>5005</v>
      </c>
      <c r="L107" s="71"/>
      <c r="M107" s="71"/>
      <c r="N107" s="71"/>
      <c r="O107" s="71"/>
      <c r="P107" s="71"/>
      <c r="Q107" s="48">
        <f t="shared" si="8"/>
        <v>2502.5</v>
      </c>
      <c r="R107" s="72">
        <v>9</v>
      </c>
    </row>
    <row r="108" spans="1:18" ht="66">
      <c r="A108" s="53">
        <v>7</v>
      </c>
      <c r="B108" s="336" t="s">
        <v>139</v>
      </c>
      <c r="C108" s="338">
        <v>0.5</v>
      </c>
      <c r="D108" s="109">
        <v>5005</v>
      </c>
      <c r="E108" s="71"/>
      <c r="F108" s="107"/>
      <c r="G108" s="71"/>
      <c r="H108" s="71"/>
      <c r="I108" s="71"/>
      <c r="J108" s="71"/>
      <c r="K108" s="47">
        <f t="shared" si="7"/>
        <v>5005</v>
      </c>
      <c r="L108" s="71"/>
      <c r="M108" s="71"/>
      <c r="N108" s="71"/>
      <c r="O108" s="71"/>
      <c r="P108" s="71"/>
      <c r="Q108" s="48">
        <f t="shared" si="8"/>
        <v>2502.5</v>
      </c>
      <c r="R108" s="72">
        <v>9</v>
      </c>
    </row>
    <row r="109" spans="1:18" ht="72" customHeight="1">
      <c r="A109" s="53">
        <v>8</v>
      </c>
      <c r="B109" s="336" t="s">
        <v>140</v>
      </c>
      <c r="C109" s="338">
        <v>1.5</v>
      </c>
      <c r="D109" s="109">
        <v>5005</v>
      </c>
      <c r="E109" s="71"/>
      <c r="F109" s="107"/>
      <c r="G109" s="71"/>
      <c r="H109" s="71"/>
      <c r="I109" s="71"/>
      <c r="J109" s="71"/>
      <c r="K109" s="47">
        <f t="shared" si="7"/>
        <v>5005</v>
      </c>
      <c r="L109" s="71"/>
      <c r="M109" s="71"/>
      <c r="N109" s="71"/>
      <c r="O109" s="71"/>
      <c r="P109" s="71"/>
      <c r="Q109" s="48">
        <f t="shared" si="8"/>
        <v>7507.5</v>
      </c>
      <c r="R109" s="72">
        <v>9</v>
      </c>
    </row>
    <row r="110" spans="1:18" ht="47.25" customHeight="1">
      <c r="A110" s="53">
        <v>9</v>
      </c>
      <c r="B110" s="337" t="s">
        <v>141</v>
      </c>
      <c r="C110" s="338">
        <v>0.5</v>
      </c>
      <c r="D110" s="109">
        <v>5005</v>
      </c>
      <c r="E110" s="71"/>
      <c r="F110" s="107"/>
      <c r="G110" s="71"/>
      <c r="H110" s="71"/>
      <c r="I110" s="71"/>
      <c r="J110" s="71"/>
      <c r="K110" s="47">
        <f t="shared" si="7"/>
        <v>5005</v>
      </c>
      <c r="L110" s="71"/>
      <c r="M110" s="71"/>
      <c r="N110" s="71"/>
      <c r="O110" s="71"/>
      <c r="P110" s="71"/>
      <c r="Q110" s="48">
        <f t="shared" si="8"/>
        <v>2502.5</v>
      </c>
      <c r="R110" s="72">
        <v>9</v>
      </c>
    </row>
    <row r="111" spans="1:18" ht="39.75" customHeight="1">
      <c r="A111" s="53">
        <v>10</v>
      </c>
      <c r="B111" s="391" t="s">
        <v>256</v>
      </c>
      <c r="C111" s="394">
        <v>1</v>
      </c>
      <c r="D111" s="99">
        <v>3674</v>
      </c>
      <c r="E111" s="395"/>
      <c r="F111" s="107"/>
      <c r="G111" s="395"/>
      <c r="H111" s="395"/>
      <c r="I111" s="395"/>
      <c r="J111" s="395"/>
      <c r="K111" s="99">
        <f t="shared" si="7"/>
        <v>3674</v>
      </c>
      <c r="L111" s="395"/>
      <c r="M111" s="395"/>
      <c r="N111" s="395"/>
      <c r="O111" s="395"/>
      <c r="P111" s="395"/>
      <c r="Q111" s="99">
        <f t="shared" si="8"/>
        <v>3674</v>
      </c>
      <c r="R111" s="393">
        <v>4</v>
      </c>
    </row>
    <row r="112" spans="1:18" ht="33.75" customHeight="1">
      <c r="A112" s="507" t="s">
        <v>18</v>
      </c>
      <c r="B112" s="508"/>
      <c r="C112" s="358">
        <f>SUM(C102:C111)</f>
        <v>7.5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392">
        <f>SUM(Q102:Q111)</f>
        <v>72107.15</v>
      </c>
      <c r="R112" s="94"/>
    </row>
    <row r="113" spans="1:18" ht="39.75" customHeight="1">
      <c r="A113" s="110" t="s">
        <v>215</v>
      </c>
      <c r="B113" s="111"/>
      <c r="C113" s="341">
        <f>SUM(C102:C111)</f>
        <v>7.5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62" t="s">
        <v>29</v>
      </c>
      <c r="P113" s="61"/>
      <c r="Q113" s="112">
        <f>Q112</f>
        <v>72107.15</v>
      </c>
      <c r="R113" s="65"/>
    </row>
    <row r="114" spans="1:18" ht="3" customHeight="1">
      <c r="A114" s="111"/>
      <c r="B114" s="111"/>
      <c r="C114" s="42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1:18" ht="39.75" customHeight="1">
      <c r="A115" s="111"/>
      <c r="B115" s="571" t="s">
        <v>123</v>
      </c>
      <c r="C115" s="572"/>
      <c r="D115" s="463">
        <f>C21</f>
        <v>6</v>
      </c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5">
        <f>Q21</f>
        <v>135104</v>
      </c>
      <c r="R115" s="462"/>
    </row>
    <row r="116" spans="1:18" ht="39.75" customHeight="1">
      <c r="A116" s="117"/>
      <c r="B116" s="595" t="s">
        <v>24</v>
      </c>
      <c r="C116" s="595"/>
      <c r="D116" s="463">
        <f>C48+C55+C63+C113+C77</f>
        <v>41.5</v>
      </c>
      <c r="E116" s="464"/>
      <c r="F116" s="464"/>
      <c r="G116" s="464"/>
      <c r="H116" s="466"/>
      <c r="I116" s="464"/>
      <c r="J116" s="464"/>
      <c r="K116" s="464"/>
      <c r="L116" s="464"/>
      <c r="M116" s="464"/>
      <c r="N116" s="464"/>
      <c r="O116" s="464"/>
      <c r="P116" s="466"/>
      <c r="Q116" s="467">
        <f>SUM(Q48+Q55+Q63+Q77+Q113)</f>
        <v>210126.169</v>
      </c>
      <c r="R116" s="462"/>
    </row>
    <row r="117" spans="1:18" ht="39.75" customHeight="1">
      <c r="A117" s="117"/>
      <c r="B117" s="596" t="s">
        <v>25</v>
      </c>
      <c r="C117" s="596"/>
      <c r="D117" s="463">
        <f>D115+D116</f>
        <v>47.5</v>
      </c>
      <c r="E117" s="464"/>
      <c r="F117" s="464"/>
      <c r="G117" s="464"/>
      <c r="H117" s="464"/>
      <c r="I117" s="464"/>
      <c r="J117" s="464"/>
      <c r="K117" s="464"/>
      <c r="L117" s="464"/>
      <c r="M117" s="466"/>
      <c r="N117" s="464"/>
      <c r="O117" s="464"/>
      <c r="P117" s="464"/>
      <c r="Q117" s="468">
        <f>Q115+Q116</f>
        <v>345230.169</v>
      </c>
      <c r="R117" s="462"/>
    </row>
    <row r="118" spans="1:18" ht="39.75" customHeight="1">
      <c r="A118" s="117" t="s">
        <v>23</v>
      </c>
      <c r="B118" s="469"/>
      <c r="C118" s="470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111"/>
    </row>
    <row r="119" spans="1:18" ht="26.25" customHeight="1">
      <c r="A119" s="117"/>
      <c r="B119" s="469"/>
      <c r="C119" s="470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111"/>
    </row>
    <row r="120" spans="1:18" ht="39.75" customHeight="1" hidden="1">
      <c r="A120" s="117"/>
      <c r="B120" s="102"/>
      <c r="C120" s="420"/>
      <c r="D120" s="111"/>
      <c r="E120" s="111"/>
      <c r="F120" s="111"/>
      <c r="G120" s="111"/>
      <c r="H120" s="111"/>
      <c r="I120" s="555"/>
      <c r="J120" s="555"/>
      <c r="K120" s="116"/>
      <c r="L120" s="111"/>
      <c r="M120" s="111"/>
      <c r="N120" s="111"/>
      <c r="O120" s="111"/>
      <c r="P120" s="111"/>
      <c r="Q120" s="111"/>
      <c r="R120" s="111"/>
    </row>
    <row r="121" spans="1:18" ht="39.75" customHeight="1" hidden="1">
      <c r="A121" s="117"/>
      <c r="B121" s="102"/>
      <c r="C121" s="420"/>
      <c r="D121" s="111"/>
      <c r="E121" s="111"/>
      <c r="F121" s="111"/>
      <c r="G121" s="111"/>
      <c r="H121" s="111"/>
      <c r="I121" s="116"/>
      <c r="J121" s="116"/>
      <c r="K121" s="116"/>
      <c r="L121" s="111"/>
      <c r="M121" s="111"/>
      <c r="N121" s="111"/>
      <c r="O121" s="111"/>
      <c r="P121" s="111"/>
      <c r="Q121" s="111"/>
      <c r="R121" s="111"/>
    </row>
    <row r="122" spans="1:18" ht="39.75" customHeight="1">
      <c r="A122" s="117"/>
      <c r="B122" s="102"/>
      <c r="C122" s="420"/>
      <c r="D122" s="111"/>
      <c r="E122" s="111"/>
      <c r="F122" s="111"/>
      <c r="G122" s="111"/>
      <c r="H122" s="111"/>
      <c r="I122" s="116"/>
      <c r="J122" s="116"/>
      <c r="K122" s="116"/>
      <c r="L122" s="111"/>
      <c r="M122" s="111"/>
      <c r="N122" s="111"/>
      <c r="O122" s="111"/>
      <c r="P122" s="111"/>
      <c r="Q122" s="111"/>
      <c r="R122" s="111"/>
    </row>
    <row r="123" spans="1:18" ht="39.75" customHeight="1">
      <c r="A123" s="117"/>
      <c r="B123" s="102"/>
      <c r="C123" s="420"/>
      <c r="D123" s="111"/>
      <c r="E123" s="111"/>
      <c r="F123" s="111"/>
      <c r="G123" s="111"/>
      <c r="H123" s="111"/>
      <c r="I123" s="116"/>
      <c r="J123" s="116"/>
      <c r="K123" s="116"/>
      <c r="L123" s="111"/>
      <c r="M123" s="111"/>
      <c r="N123" s="111"/>
      <c r="O123" s="111"/>
      <c r="P123" s="111"/>
      <c r="Q123" s="111"/>
      <c r="R123" s="111"/>
    </row>
    <row r="124" spans="1:18" ht="39.75" customHeight="1">
      <c r="A124" s="117"/>
      <c r="B124" s="102"/>
      <c r="C124" s="420"/>
      <c r="D124" s="111"/>
      <c r="E124" s="111"/>
      <c r="F124" s="111"/>
      <c r="G124" s="111"/>
      <c r="H124" s="111"/>
      <c r="I124" s="116"/>
      <c r="J124" s="116"/>
      <c r="K124" s="116"/>
      <c r="L124" s="111"/>
      <c r="M124" s="111"/>
      <c r="N124" s="111"/>
      <c r="O124" s="111"/>
      <c r="P124" s="111"/>
      <c r="Q124" s="111"/>
      <c r="R124" s="111"/>
    </row>
    <row r="125" spans="1:18" ht="39.75" customHeight="1">
      <c r="A125" s="117"/>
      <c r="B125" s="102"/>
      <c r="C125" s="420"/>
      <c r="D125" s="111"/>
      <c r="E125" s="111"/>
      <c r="F125" s="111"/>
      <c r="G125" s="111"/>
      <c r="H125" s="111"/>
      <c r="I125" s="116"/>
      <c r="J125" s="116"/>
      <c r="K125" s="545"/>
      <c r="L125" s="545"/>
      <c r="M125" s="111"/>
      <c r="N125" s="111"/>
      <c r="O125" s="111"/>
      <c r="P125" s="111"/>
      <c r="Q125" s="111"/>
      <c r="R125" s="111"/>
    </row>
    <row r="126" spans="1:18" ht="39.75" customHeight="1">
      <c r="A126" s="117"/>
      <c r="B126" s="102"/>
      <c r="C126" s="420"/>
      <c r="D126" s="111"/>
      <c r="E126" s="111"/>
      <c r="F126" s="111"/>
      <c r="G126" s="111"/>
      <c r="H126" s="111"/>
      <c r="I126" s="116"/>
      <c r="J126" s="116"/>
      <c r="K126" s="116"/>
      <c r="L126" s="111"/>
      <c r="M126" s="111"/>
      <c r="N126" s="111"/>
      <c r="O126" s="111"/>
      <c r="P126" s="111"/>
      <c r="Q126" s="111"/>
      <c r="R126" s="111"/>
    </row>
    <row r="127" spans="1:18" ht="39.75" customHeight="1">
      <c r="A127" s="117"/>
      <c r="B127" s="102"/>
      <c r="C127" s="420"/>
      <c r="D127" s="111"/>
      <c r="E127" s="111"/>
      <c r="F127" s="111"/>
      <c r="G127" s="111"/>
      <c r="H127" s="111"/>
      <c r="I127" s="116"/>
      <c r="J127" s="116"/>
      <c r="K127" s="545"/>
      <c r="L127" s="545"/>
      <c r="M127" s="111"/>
      <c r="N127" s="111"/>
      <c r="O127" s="111"/>
      <c r="P127" s="111"/>
      <c r="Q127" s="111"/>
      <c r="R127" s="111"/>
    </row>
    <row r="128" spans="1:18" ht="39.75" customHeight="1">
      <c r="A128" s="117"/>
      <c r="B128" s="102"/>
      <c r="C128" s="420"/>
      <c r="D128" s="111"/>
      <c r="E128" s="111"/>
      <c r="F128" s="111"/>
      <c r="G128" s="111"/>
      <c r="H128" s="111"/>
      <c r="I128" s="116"/>
      <c r="J128" s="116"/>
      <c r="K128" s="116"/>
      <c r="L128" s="111"/>
      <c r="M128" s="111"/>
      <c r="N128" s="111"/>
      <c r="O128" s="111"/>
      <c r="P128" s="111"/>
      <c r="Q128" s="111"/>
      <c r="R128" s="111"/>
    </row>
    <row r="129" spans="1:18" ht="39.75" customHeight="1">
      <c r="A129" s="117"/>
      <c r="B129" s="102"/>
      <c r="C129" s="420"/>
      <c r="D129" s="111"/>
      <c r="E129" s="111"/>
      <c r="F129" s="111"/>
      <c r="G129" s="111"/>
      <c r="H129" s="111"/>
      <c r="I129" s="116"/>
      <c r="J129" s="116"/>
      <c r="K129" s="116"/>
      <c r="L129" s="111"/>
      <c r="M129" s="111"/>
      <c r="N129" s="111"/>
      <c r="O129" s="111"/>
      <c r="P129" s="111"/>
      <c r="Q129" s="111"/>
      <c r="R129" s="111"/>
    </row>
    <row r="130" spans="1:18" ht="39.75" customHeight="1">
      <c r="A130" s="117"/>
      <c r="B130" s="102"/>
      <c r="C130" s="420"/>
      <c r="D130" s="111"/>
      <c r="E130" s="111"/>
      <c r="F130" s="111"/>
      <c r="G130" s="111"/>
      <c r="H130" s="111"/>
      <c r="I130" s="116"/>
      <c r="J130" s="116"/>
      <c r="K130" s="116"/>
      <c r="L130" s="111"/>
      <c r="M130" s="111"/>
      <c r="N130" s="111"/>
      <c r="O130" s="111"/>
      <c r="P130" s="111"/>
      <c r="Q130" s="111"/>
      <c r="R130" s="111"/>
    </row>
    <row r="131" spans="1:18" ht="39.75" customHeight="1">
      <c r="A131" s="117"/>
      <c r="B131" s="102"/>
      <c r="C131" s="420"/>
      <c r="D131" s="111"/>
      <c r="E131" s="111"/>
      <c r="F131" s="111"/>
      <c r="G131" s="111"/>
      <c r="H131" s="111"/>
      <c r="I131" s="116"/>
      <c r="J131" s="116"/>
      <c r="K131" s="116"/>
      <c r="L131" s="111"/>
      <c r="M131" s="111"/>
      <c r="N131" s="111"/>
      <c r="O131" s="111"/>
      <c r="P131" s="111"/>
      <c r="Q131" s="111"/>
      <c r="R131" s="111"/>
    </row>
    <row r="132" spans="1:18" ht="39.75" customHeight="1">
      <c r="A132" s="117"/>
      <c r="B132" s="102"/>
      <c r="C132" s="420"/>
      <c r="D132" s="111"/>
      <c r="E132" s="111"/>
      <c r="F132" s="111"/>
      <c r="G132" s="111"/>
      <c r="H132" s="111"/>
      <c r="I132" s="116"/>
      <c r="J132" s="116"/>
      <c r="K132" s="116"/>
      <c r="L132" s="111"/>
      <c r="M132" s="111"/>
      <c r="N132" s="111"/>
      <c r="O132" s="111"/>
      <c r="P132" s="111"/>
      <c r="Q132" s="111"/>
      <c r="R132" s="111"/>
    </row>
    <row r="133" spans="1:18" ht="117" customHeight="1">
      <c r="A133" s="117"/>
      <c r="B133" s="102"/>
      <c r="C133" s="420"/>
      <c r="D133" s="111"/>
      <c r="E133" s="111"/>
      <c r="F133" s="111"/>
      <c r="G133" s="111"/>
      <c r="H133" s="111"/>
      <c r="I133" s="116"/>
      <c r="J133" s="116"/>
      <c r="K133" s="116"/>
      <c r="L133" s="111"/>
      <c r="M133" s="111"/>
      <c r="N133" s="111"/>
      <c r="O133" s="111"/>
      <c r="P133" s="111"/>
      <c r="Q133" s="111"/>
      <c r="R133" s="111"/>
    </row>
    <row r="134" spans="1:18" ht="102.75" customHeight="1">
      <c r="A134" s="117"/>
      <c r="B134" s="102"/>
      <c r="C134" s="420"/>
      <c r="D134" s="111"/>
      <c r="E134" s="111"/>
      <c r="F134" s="111"/>
      <c r="G134" s="111"/>
      <c r="H134" s="111"/>
      <c r="I134" s="116"/>
      <c r="J134" s="116"/>
      <c r="K134" s="116"/>
      <c r="L134" s="111"/>
      <c r="M134" s="111"/>
      <c r="N134" s="111"/>
      <c r="O134" s="111"/>
      <c r="P134" s="111"/>
      <c r="Q134" s="111"/>
      <c r="R134" s="111"/>
    </row>
    <row r="135" spans="1:18" ht="39.75" customHeight="1">
      <c r="A135" s="110"/>
      <c r="B135" s="102"/>
      <c r="C135" s="420"/>
      <c r="D135" s="111"/>
      <c r="E135" s="110"/>
      <c r="F135" s="111"/>
      <c r="G135" s="111"/>
      <c r="H135" s="111"/>
      <c r="I135" s="545"/>
      <c r="J135" s="545"/>
      <c r="K135" s="115"/>
      <c r="L135" s="111"/>
      <c r="M135" s="111"/>
      <c r="N135" s="111"/>
      <c r="O135" s="111"/>
      <c r="P135" s="111"/>
      <c r="Q135" s="111"/>
      <c r="R135" s="111"/>
    </row>
    <row r="136" spans="1:18" ht="10.5" customHeight="1">
      <c r="A136" s="57"/>
      <c r="B136" s="65"/>
      <c r="C136" s="41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ht="39">
      <c r="A137" s="65"/>
      <c r="B137" s="65"/>
      <c r="C137" s="41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ht="39">
      <c r="A138" s="65"/>
      <c r="B138" s="65"/>
      <c r="C138" s="419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ht="51" customHeight="1">
      <c r="A139" s="546" t="s">
        <v>1</v>
      </c>
      <c r="B139" s="546" t="s">
        <v>2</v>
      </c>
      <c r="C139" s="584" t="s">
        <v>3</v>
      </c>
      <c r="D139" s="546" t="s">
        <v>26</v>
      </c>
      <c r="E139" s="559" t="s">
        <v>127</v>
      </c>
      <c r="F139" s="560"/>
      <c r="G139" s="560"/>
      <c r="H139" s="560"/>
      <c r="I139" s="560"/>
      <c r="J139" s="566"/>
      <c r="K139" s="531" t="s">
        <v>128</v>
      </c>
      <c r="L139" s="537" t="s">
        <v>129</v>
      </c>
      <c r="M139" s="537"/>
      <c r="N139" s="537"/>
      <c r="O139" s="537" t="s">
        <v>132</v>
      </c>
      <c r="P139" s="537"/>
      <c r="Q139" s="531" t="s">
        <v>4</v>
      </c>
      <c r="R139" s="531" t="s">
        <v>31</v>
      </c>
    </row>
    <row r="140" spans="1:18" ht="76.5" customHeight="1">
      <c r="A140" s="547"/>
      <c r="B140" s="547"/>
      <c r="C140" s="585"/>
      <c r="D140" s="547"/>
      <c r="E140" s="531" t="s">
        <v>212</v>
      </c>
      <c r="F140" s="531" t="s">
        <v>134</v>
      </c>
      <c r="G140" s="302" t="s">
        <v>7</v>
      </c>
      <c r="H140" s="531" t="s">
        <v>8</v>
      </c>
      <c r="I140" s="531" t="s">
        <v>9</v>
      </c>
      <c r="J140" s="531" t="s">
        <v>10</v>
      </c>
      <c r="K140" s="536"/>
      <c r="L140" s="531" t="s">
        <v>130</v>
      </c>
      <c r="M140" s="531" t="s">
        <v>131</v>
      </c>
      <c r="N140" s="531" t="s">
        <v>119</v>
      </c>
      <c r="O140" s="531" t="s">
        <v>133</v>
      </c>
      <c r="P140" s="531" t="s">
        <v>206</v>
      </c>
      <c r="Q140" s="536"/>
      <c r="R140" s="536"/>
    </row>
    <row r="141" spans="1:18" ht="92.25" customHeight="1">
      <c r="A141" s="548"/>
      <c r="B141" s="548"/>
      <c r="C141" s="586"/>
      <c r="D141" s="548"/>
      <c r="E141" s="532"/>
      <c r="F141" s="532"/>
      <c r="G141" s="303"/>
      <c r="H141" s="532"/>
      <c r="I141" s="532"/>
      <c r="J141" s="532"/>
      <c r="K141" s="532"/>
      <c r="L141" s="532"/>
      <c r="M141" s="532"/>
      <c r="N141" s="532"/>
      <c r="O141" s="532"/>
      <c r="P141" s="532"/>
      <c r="Q141" s="532"/>
      <c r="R141" s="532"/>
    </row>
    <row r="142" spans="1:18" ht="30.75">
      <c r="A142" s="301">
        <v>1</v>
      </c>
      <c r="B142" s="304">
        <v>2</v>
      </c>
      <c r="C142" s="359">
        <v>3</v>
      </c>
      <c r="D142" s="304">
        <v>4</v>
      </c>
      <c r="E142" s="304">
        <v>5</v>
      </c>
      <c r="F142" s="304">
        <v>6</v>
      </c>
      <c r="G142" s="304">
        <v>7</v>
      </c>
      <c r="H142" s="304">
        <v>8</v>
      </c>
      <c r="I142" s="304">
        <v>9</v>
      </c>
      <c r="J142" s="304">
        <v>10</v>
      </c>
      <c r="K142" s="304">
        <v>11</v>
      </c>
      <c r="L142" s="304">
        <v>12</v>
      </c>
      <c r="M142" s="304">
        <v>13</v>
      </c>
      <c r="N142" s="304">
        <v>14</v>
      </c>
      <c r="O142" s="304">
        <v>15</v>
      </c>
      <c r="P142" s="304">
        <v>16</v>
      </c>
      <c r="Q142" s="304">
        <v>17</v>
      </c>
      <c r="R142" s="304">
        <v>18</v>
      </c>
    </row>
    <row r="143" spans="1:18" ht="37.5">
      <c r="A143" s="603" t="s">
        <v>101</v>
      </c>
      <c r="B143" s="603"/>
      <c r="C143" s="603"/>
      <c r="D143" s="603"/>
      <c r="E143" s="603"/>
      <c r="F143" s="603"/>
      <c r="G143" s="603"/>
      <c r="H143" s="603"/>
      <c r="I143" s="603"/>
      <c r="J143" s="603"/>
      <c r="K143" s="603"/>
      <c r="L143" s="603"/>
      <c r="M143" s="603"/>
      <c r="N143" s="603"/>
      <c r="O143" s="603"/>
      <c r="P143" s="603"/>
      <c r="Q143" s="603"/>
      <c r="R143" s="603"/>
    </row>
    <row r="144" spans="1:18" ht="39">
      <c r="A144" s="120"/>
      <c r="B144" s="65"/>
      <c r="C144" s="419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ht="0.75" customHeight="1">
      <c r="A145" s="46"/>
      <c r="B145" s="105"/>
      <c r="C145" s="357"/>
      <c r="D145" s="81"/>
      <c r="E145" s="121"/>
      <c r="F145" s="121"/>
      <c r="G145" s="122"/>
      <c r="H145" s="121"/>
      <c r="I145" s="121"/>
      <c r="J145" s="123"/>
      <c r="K145" s="123"/>
      <c r="L145" s="121"/>
      <c r="M145" s="121"/>
      <c r="N145" s="121"/>
      <c r="O145" s="121"/>
      <c r="P145" s="121"/>
      <c r="Q145" s="124"/>
      <c r="R145" s="81"/>
    </row>
    <row r="146" spans="1:18" s="19" customFormat="1" ht="75" customHeight="1">
      <c r="A146" s="53">
        <v>1</v>
      </c>
      <c r="B146" s="105" t="s">
        <v>310</v>
      </c>
      <c r="C146" s="357">
        <v>1</v>
      </c>
      <c r="D146" s="125">
        <v>6567</v>
      </c>
      <c r="E146" s="107"/>
      <c r="F146" s="107"/>
      <c r="G146" s="126"/>
      <c r="H146" s="107"/>
      <c r="I146" s="107"/>
      <c r="J146" s="126"/>
      <c r="K146" s="127">
        <f>D146+E146+F146+G146+H146+I146+J146</f>
        <v>6567</v>
      </c>
      <c r="L146" s="107"/>
      <c r="M146" s="107"/>
      <c r="N146" s="107">
        <f>K146*0.3</f>
        <v>1970.1</v>
      </c>
      <c r="O146" s="107"/>
      <c r="P146" s="121"/>
      <c r="Q146" s="107">
        <f>(K146+N146)*C146</f>
        <v>8537.1</v>
      </c>
      <c r="R146" s="81">
        <v>13</v>
      </c>
    </row>
    <row r="147" spans="1:18" ht="75" customHeight="1">
      <c r="A147" s="53">
        <v>2</v>
      </c>
      <c r="B147" s="128" t="s">
        <v>309</v>
      </c>
      <c r="C147" s="345">
        <v>1</v>
      </c>
      <c r="D147" s="47">
        <v>5699</v>
      </c>
      <c r="E147" s="129"/>
      <c r="F147" s="107"/>
      <c r="G147" s="389">
        <v>818.72</v>
      </c>
      <c r="H147" s="129"/>
      <c r="I147" s="129"/>
      <c r="J147" s="129">
        <f>(D147+G147)*15%</f>
        <v>977.658</v>
      </c>
      <c r="K147" s="71">
        <f aca="true" t="shared" si="9" ref="K147:K155">SUM(D147:J147)</f>
        <v>7495.378000000001</v>
      </c>
      <c r="L147" s="129"/>
      <c r="M147" s="129"/>
      <c r="N147" s="129">
        <f>K147*0.3</f>
        <v>2248.6134</v>
      </c>
      <c r="O147" s="129"/>
      <c r="P147" s="121"/>
      <c r="Q147" s="48">
        <f aca="true" t="shared" si="10" ref="Q147:Q155">SUM(K147:P147)*C147</f>
        <v>9743.9914</v>
      </c>
      <c r="R147" s="56">
        <v>11</v>
      </c>
    </row>
    <row r="148" spans="1:18" ht="75" customHeight="1">
      <c r="A148" s="53">
        <v>3</v>
      </c>
      <c r="B148" s="128" t="s">
        <v>178</v>
      </c>
      <c r="C148" s="345">
        <v>1.5</v>
      </c>
      <c r="D148" s="47">
        <v>5005</v>
      </c>
      <c r="E148" s="129"/>
      <c r="F148" s="107"/>
      <c r="G148" s="129"/>
      <c r="H148" s="129"/>
      <c r="I148" s="129"/>
      <c r="J148" s="129"/>
      <c r="K148" s="71">
        <f t="shared" si="9"/>
        <v>5005</v>
      </c>
      <c r="L148" s="129"/>
      <c r="M148" s="129"/>
      <c r="N148" s="129">
        <f>K148*0.3</f>
        <v>1501.5</v>
      </c>
      <c r="O148" s="129"/>
      <c r="P148" s="121"/>
      <c r="Q148" s="48">
        <f t="shared" si="10"/>
        <v>9759.75</v>
      </c>
      <c r="R148" s="56">
        <v>9</v>
      </c>
    </row>
    <row r="149" spans="1:18" ht="75" customHeight="1">
      <c r="A149" s="53">
        <v>4</v>
      </c>
      <c r="B149" s="46" t="s">
        <v>267</v>
      </c>
      <c r="C149" s="350">
        <v>0.75</v>
      </c>
      <c r="D149" s="48">
        <v>5005</v>
      </c>
      <c r="E149" s="48"/>
      <c r="F149" s="107"/>
      <c r="G149" s="48"/>
      <c r="H149" s="48"/>
      <c r="I149" s="48" t="s">
        <v>306</v>
      </c>
      <c r="J149" s="48"/>
      <c r="K149" s="71">
        <f t="shared" si="9"/>
        <v>5005</v>
      </c>
      <c r="L149" s="48"/>
      <c r="M149" s="48"/>
      <c r="N149" s="48">
        <f>K149*30%</f>
        <v>1501.5</v>
      </c>
      <c r="O149" s="48"/>
      <c r="P149" s="121"/>
      <c r="Q149" s="48">
        <f t="shared" si="10"/>
        <v>4879.875</v>
      </c>
      <c r="R149" s="56">
        <v>9</v>
      </c>
    </row>
    <row r="150" spans="1:18" s="23" customFormat="1" ht="75" customHeight="1">
      <c r="A150" s="53">
        <v>5</v>
      </c>
      <c r="B150" s="46" t="s">
        <v>305</v>
      </c>
      <c r="C150" s="350">
        <v>0.75</v>
      </c>
      <c r="D150" s="48">
        <v>4745</v>
      </c>
      <c r="E150" s="48"/>
      <c r="F150" s="107"/>
      <c r="G150" s="48"/>
      <c r="H150" s="48"/>
      <c r="I150" s="48"/>
      <c r="J150" s="48"/>
      <c r="K150" s="71">
        <f t="shared" si="9"/>
        <v>4745</v>
      </c>
      <c r="L150" s="48"/>
      <c r="M150" s="48"/>
      <c r="N150" s="48">
        <f>K150*30%</f>
        <v>1423.5</v>
      </c>
      <c r="O150" s="48"/>
      <c r="P150" s="121"/>
      <c r="Q150" s="48">
        <f t="shared" si="10"/>
        <v>4626.375</v>
      </c>
      <c r="R150" s="56">
        <v>8</v>
      </c>
    </row>
    <row r="151" spans="1:18" ht="72.75" customHeight="1">
      <c r="A151" s="53">
        <v>6</v>
      </c>
      <c r="B151" s="46" t="s">
        <v>179</v>
      </c>
      <c r="C151" s="345">
        <v>0.5</v>
      </c>
      <c r="D151" s="48">
        <v>5265</v>
      </c>
      <c r="E151" s="48"/>
      <c r="F151" s="107"/>
      <c r="G151" s="48"/>
      <c r="H151" s="47">
        <f>D151*15%</f>
        <v>789.75</v>
      </c>
      <c r="I151" s="48"/>
      <c r="J151" s="48"/>
      <c r="K151" s="71">
        <f t="shared" si="9"/>
        <v>6054.75</v>
      </c>
      <c r="L151" s="48"/>
      <c r="M151" s="48"/>
      <c r="N151" s="48">
        <f>K151*30%</f>
        <v>1816.425</v>
      </c>
      <c r="O151" s="48"/>
      <c r="P151" s="121"/>
      <c r="Q151" s="48">
        <f t="shared" si="10"/>
        <v>3935.5875</v>
      </c>
      <c r="R151" s="56">
        <v>10</v>
      </c>
    </row>
    <row r="152" spans="1:18" ht="37.5" customHeight="1">
      <c r="A152" s="53">
        <v>7</v>
      </c>
      <c r="B152" s="46" t="s">
        <v>154</v>
      </c>
      <c r="C152" s="345">
        <v>1.5</v>
      </c>
      <c r="D152" s="48">
        <v>5265</v>
      </c>
      <c r="E152" s="48"/>
      <c r="F152" s="107"/>
      <c r="G152" s="48"/>
      <c r="H152" s="47"/>
      <c r="I152" s="48"/>
      <c r="J152" s="48"/>
      <c r="K152" s="71">
        <f>D152*C152</f>
        <v>7897.5</v>
      </c>
      <c r="L152" s="48"/>
      <c r="M152" s="48"/>
      <c r="N152" s="48"/>
      <c r="O152" s="48"/>
      <c r="P152" s="52"/>
      <c r="Q152" s="48">
        <f>K152</f>
        <v>7897.5</v>
      </c>
      <c r="R152" s="56">
        <v>10</v>
      </c>
    </row>
    <row r="153" spans="1:18" ht="40.5" customHeight="1">
      <c r="A153" s="53">
        <v>8</v>
      </c>
      <c r="B153" s="46" t="s">
        <v>32</v>
      </c>
      <c r="C153" s="350">
        <v>0.25</v>
      </c>
      <c r="D153" s="48">
        <v>3674</v>
      </c>
      <c r="E153" s="48"/>
      <c r="F153" s="107"/>
      <c r="G153" s="48"/>
      <c r="H153" s="48"/>
      <c r="I153" s="48"/>
      <c r="J153" s="48"/>
      <c r="K153" s="71">
        <f t="shared" si="9"/>
        <v>3674</v>
      </c>
      <c r="L153" s="48"/>
      <c r="M153" s="48"/>
      <c r="N153" s="48"/>
      <c r="O153" s="48">
        <f>D153*12%</f>
        <v>440.88</v>
      </c>
      <c r="P153" s="52"/>
      <c r="Q153" s="48">
        <f t="shared" si="10"/>
        <v>1028.72</v>
      </c>
      <c r="R153" s="56">
        <v>4</v>
      </c>
    </row>
    <row r="154" spans="1:18" ht="93.75" customHeight="1">
      <c r="A154" s="53">
        <v>9</v>
      </c>
      <c r="B154" s="46" t="s">
        <v>108</v>
      </c>
      <c r="C154" s="345">
        <v>0.5</v>
      </c>
      <c r="D154" s="48">
        <v>3153</v>
      </c>
      <c r="E154" s="48"/>
      <c r="F154" s="107"/>
      <c r="G154" s="48"/>
      <c r="H154" s="48"/>
      <c r="I154" s="48"/>
      <c r="J154" s="48"/>
      <c r="K154" s="71">
        <f t="shared" si="9"/>
        <v>3153</v>
      </c>
      <c r="L154" s="48"/>
      <c r="M154" s="48"/>
      <c r="N154" s="48"/>
      <c r="O154" s="48"/>
      <c r="P154" s="48">
        <f>K154*10%</f>
        <v>315.3</v>
      </c>
      <c r="Q154" s="48">
        <f t="shared" si="10"/>
        <v>1734.15</v>
      </c>
      <c r="R154" s="56">
        <v>2</v>
      </c>
    </row>
    <row r="155" spans="1:18" ht="81.75" customHeight="1">
      <c r="A155" s="53">
        <v>10</v>
      </c>
      <c r="B155" s="46" t="s">
        <v>33</v>
      </c>
      <c r="C155" s="350">
        <v>0.75</v>
      </c>
      <c r="D155" s="48">
        <v>3414</v>
      </c>
      <c r="E155" s="48"/>
      <c r="F155" s="107"/>
      <c r="G155" s="48"/>
      <c r="H155" s="48"/>
      <c r="I155" s="48"/>
      <c r="J155" s="48"/>
      <c r="K155" s="71">
        <f t="shared" si="9"/>
        <v>3414</v>
      </c>
      <c r="L155" s="48"/>
      <c r="M155" s="48"/>
      <c r="N155" s="48"/>
      <c r="O155" s="48"/>
      <c r="P155" s="52"/>
      <c r="Q155" s="48">
        <f t="shared" si="10"/>
        <v>2560.5</v>
      </c>
      <c r="R155" s="56">
        <v>3</v>
      </c>
    </row>
    <row r="156" spans="1:18" ht="39.75" customHeight="1">
      <c r="A156" s="130"/>
      <c r="B156" s="66" t="s">
        <v>18</v>
      </c>
      <c r="C156" s="360">
        <f>C146+C147+C148+C149+C150+C151+C152+C153+C154+C155</f>
        <v>8.5</v>
      </c>
      <c r="D156" s="132"/>
      <c r="E156" s="132"/>
      <c r="F156" s="132"/>
      <c r="G156" s="132"/>
      <c r="H156" s="132"/>
      <c r="I156" s="132"/>
      <c r="J156" s="132"/>
      <c r="K156" s="71"/>
      <c r="L156" s="132"/>
      <c r="M156" s="132"/>
      <c r="N156" s="132"/>
      <c r="O156" s="132"/>
      <c r="P156" s="131"/>
      <c r="Q156" s="55">
        <f>Q146+Q147+Q148+Q149+Q150+Q151+Q152+Q153+Q154+Q155</f>
        <v>54703.54890000001</v>
      </c>
      <c r="R156" s="66"/>
    </row>
    <row r="157" spans="1:18" ht="39.75" customHeight="1">
      <c r="A157" s="130"/>
      <c r="B157" s="130"/>
      <c r="C157" s="361"/>
      <c r="D157" s="66"/>
      <c r="E157" s="66"/>
      <c r="F157" s="66"/>
      <c r="G157" s="66"/>
      <c r="H157" s="66"/>
      <c r="I157" s="66"/>
      <c r="J157" s="66"/>
      <c r="K157" s="100"/>
      <c r="L157" s="66"/>
      <c r="M157" s="66"/>
      <c r="N157" s="66"/>
      <c r="O157" s="66"/>
      <c r="P157" s="66"/>
      <c r="Q157" s="133"/>
      <c r="R157" s="66"/>
    </row>
    <row r="158" spans="1:18" ht="39.75" customHeight="1">
      <c r="A158" s="130"/>
      <c r="B158" s="130" t="s">
        <v>54</v>
      </c>
      <c r="C158" s="361">
        <f>C146</f>
        <v>1</v>
      </c>
      <c r="D158" s="66"/>
      <c r="E158" s="66"/>
      <c r="F158" s="66"/>
      <c r="G158" s="66"/>
      <c r="H158" s="66"/>
      <c r="I158" s="66"/>
      <c r="J158" s="66"/>
      <c r="K158" s="100"/>
      <c r="L158" s="66"/>
      <c r="M158" s="66"/>
      <c r="N158" s="66"/>
      <c r="O158" s="66"/>
      <c r="P158" s="66"/>
      <c r="Q158" s="55">
        <f>Q146</f>
        <v>8537.1</v>
      </c>
      <c r="R158" s="66"/>
    </row>
    <row r="159" spans="1:18" ht="39.75" customHeight="1">
      <c r="A159" s="130"/>
      <c r="B159" s="53" t="s">
        <v>62</v>
      </c>
      <c r="C159" s="362">
        <f>C148+C147+C149+C150+C151</f>
        <v>4.5</v>
      </c>
      <c r="D159" s="133"/>
      <c r="E159" s="133"/>
      <c r="F159" s="133"/>
      <c r="G159" s="133"/>
      <c r="H159" s="133"/>
      <c r="I159" s="133"/>
      <c r="J159" s="133"/>
      <c r="K159" s="114"/>
      <c r="L159" s="133"/>
      <c r="M159" s="133"/>
      <c r="N159" s="133"/>
      <c r="O159" s="133"/>
      <c r="P159" s="133"/>
      <c r="Q159" s="134">
        <f>Q147+Q148+Q149+Q150+Q151</f>
        <v>32945.5789</v>
      </c>
      <c r="R159" s="66"/>
    </row>
    <row r="160" spans="1:18" ht="39.75" customHeight="1">
      <c r="A160" s="130"/>
      <c r="B160" s="53" t="s">
        <v>51</v>
      </c>
      <c r="C160" s="346">
        <f>SUM(C155)</f>
        <v>0.75</v>
      </c>
      <c r="D160" s="133"/>
      <c r="E160" s="133"/>
      <c r="F160" s="133"/>
      <c r="G160" s="133"/>
      <c r="H160" s="133"/>
      <c r="I160" s="133"/>
      <c r="J160" s="133"/>
      <c r="K160" s="114"/>
      <c r="L160" s="133"/>
      <c r="M160" s="133"/>
      <c r="N160" s="133"/>
      <c r="O160" s="133"/>
      <c r="P160" s="133"/>
      <c r="Q160" s="134">
        <f>Q155</f>
        <v>2560.5</v>
      </c>
      <c r="R160" s="66"/>
    </row>
    <row r="161" spans="1:18" ht="82.5" customHeight="1">
      <c r="A161" s="130"/>
      <c r="B161" s="135" t="s">
        <v>63</v>
      </c>
      <c r="C161" s="346">
        <f>C152+C153+C154</f>
        <v>2.25</v>
      </c>
      <c r="D161" s="133"/>
      <c r="E161" s="133"/>
      <c r="F161" s="133"/>
      <c r="G161" s="133"/>
      <c r="H161" s="133"/>
      <c r="I161" s="133"/>
      <c r="J161" s="133"/>
      <c r="K161" s="114"/>
      <c r="L161" s="133"/>
      <c r="M161" s="133"/>
      <c r="N161" s="133"/>
      <c r="O161" s="133"/>
      <c r="P161" s="133"/>
      <c r="Q161" s="55">
        <f>Q152+Q153+Q154</f>
        <v>10660.369999999999</v>
      </c>
      <c r="R161" s="66"/>
    </row>
    <row r="162" spans="1:18" ht="39">
      <c r="A162" s="65"/>
      <c r="B162" s="65"/>
      <c r="C162" s="419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ht="39">
      <c r="A163" s="65"/>
      <c r="B163" s="65"/>
      <c r="C163" s="419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ht="39">
      <c r="A164" s="65"/>
      <c r="B164" s="65"/>
      <c r="C164" s="419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 ht="39">
      <c r="A165" s="65"/>
      <c r="B165" s="65"/>
      <c r="C165" s="419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 ht="39">
      <c r="A166" s="65"/>
      <c r="B166" s="65"/>
      <c r="C166" s="419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 ht="110.25" customHeight="1">
      <c r="A167" s="65"/>
      <c r="B167" s="65"/>
      <c r="C167" s="419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 ht="39">
      <c r="A168" s="65"/>
      <c r="B168" s="65"/>
      <c r="C168" s="419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 ht="106.5" customHeight="1">
      <c r="A169" s="65"/>
      <c r="B169" s="65"/>
      <c r="C169" s="419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 ht="39">
      <c r="A170" s="65"/>
      <c r="B170" s="65"/>
      <c r="C170" s="419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ht="32.25" customHeight="1">
      <c r="A171" s="65"/>
      <c r="B171" s="65"/>
      <c r="C171" s="419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ht="37.5" hidden="1">
      <c r="A172" s="65"/>
      <c r="B172" s="65"/>
      <c r="C172" s="419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ht="37.5" hidden="1">
      <c r="A173" s="65"/>
      <c r="B173" s="65"/>
      <c r="C173" s="419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 ht="37.5" hidden="1">
      <c r="A174" s="65"/>
      <c r="B174" s="65"/>
      <c r="C174" s="419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28" ht="39">
      <c r="A175" s="65"/>
      <c r="B175" s="65"/>
      <c r="C175" s="419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AB175" s="24" t="s">
        <v>52</v>
      </c>
    </row>
    <row r="176" spans="1:18" ht="48" customHeight="1">
      <c r="A176" s="509" t="s">
        <v>99</v>
      </c>
      <c r="B176" s="509"/>
      <c r="C176" s="509"/>
      <c r="D176" s="509"/>
      <c r="E176" s="509"/>
      <c r="F176" s="509"/>
      <c r="G176" s="509"/>
      <c r="H176" s="509"/>
      <c r="I176" s="509"/>
      <c r="J176" s="509"/>
      <c r="K176" s="509"/>
      <c r="L176" s="509"/>
      <c r="M176" s="509"/>
      <c r="N176" s="509"/>
      <c r="O176" s="509"/>
      <c r="P176" s="509"/>
      <c r="Q176" s="509"/>
      <c r="R176" s="509"/>
    </row>
    <row r="177" spans="1:18" ht="45.75" customHeight="1">
      <c r="A177" s="66">
        <v>1</v>
      </c>
      <c r="B177" s="67">
        <v>2</v>
      </c>
      <c r="C177" s="349">
        <v>3</v>
      </c>
      <c r="D177" s="67">
        <v>4</v>
      </c>
      <c r="E177" s="67">
        <v>5</v>
      </c>
      <c r="F177" s="67">
        <v>6</v>
      </c>
      <c r="G177" s="67">
        <v>7</v>
      </c>
      <c r="H177" s="67">
        <v>8</v>
      </c>
      <c r="I177" s="67">
        <v>9</v>
      </c>
      <c r="J177" s="67">
        <v>10</v>
      </c>
      <c r="K177" s="67">
        <v>11</v>
      </c>
      <c r="L177" s="67">
        <v>12</v>
      </c>
      <c r="M177" s="67">
        <v>13</v>
      </c>
      <c r="N177" s="67">
        <v>14</v>
      </c>
      <c r="O177" s="67">
        <v>15</v>
      </c>
      <c r="P177" s="67">
        <v>16</v>
      </c>
      <c r="Q177" s="67">
        <v>17</v>
      </c>
      <c r="R177" s="67">
        <v>18</v>
      </c>
    </row>
    <row r="178" spans="1:18" ht="76.5">
      <c r="A178" s="113">
        <v>1</v>
      </c>
      <c r="B178" s="98" t="s">
        <v>228</v>
      </c>
      <c r="C178" s="351">
        <v>1</v>
      </c>
      <c r="D178" s="88">
        <v>5265</v>
      </c>
      <c r="E178" s="86"/>
      <c r="F178" s="138"/>
      <c r="G178" s="139"/>
      <c r="H178" s="139">
        <f>D178*0.15</f>
        <v>789.75</v>
      </c>
      <c r="I178" s="139"/>
      <c r="J178" s="139"/>
      <c r="K178" s="85">
        <f>SUM(D178:J178)</f>
        <v>6054.75</v>
      </c>
      <c r="L178" s="139"/>
      <c r="M178" s="139"/>
      <c r="N178" s="139">
        <f>K178*20%</f>
        <v>1210.95</v>
      </c>
      <c r="O178" s="86"/>
      <c r="P178" s="140"/>
      <c r="Q178" s="89">
        <f>SUM(K178:P178)*C178</f>
        <v>7265.7</v>
      </c>
      <c r="R178" s="98">
        <v>10</v>
      </c>
    </row>
    <row r="179" spans="1:18" ht="45" customHeight="1">
      <c r="A179" s="113">
        <v>2</v>
      </c>
      <c r="B179" s="69" t="s">
        <v>180</v>
      </c>
      <c r="C179" s="338">
        <v>1</v>
      </c>
      <c r="D179" s="83">
        <v>5699</v>
      </c>
      <c r="E179" s="83"/>
      <c r="F179" s="108"/>
      <c r="G179" s="139"/>
      <c r="H179" s="141"/>
      <c r="I179" s="139"/>
      <c r="J179" s="141"/>
      <c r="K179" s="71">
        <f aca="true" t="shared" si="11" ref="K179:K214">SUM(D179:J179)</f>
        <v>5699</v>
      </c>
      <c r="L179" s="141"/>
      <c r="M179" s="141"/>
      <c r="N179" s="141">
        <f>K179*10%</f>
        <v>569.9</v>
      </c>
      <c r="O179" s="86"/>
      <c r="P179" s="142"/>
      <c r="Q179" s="48">
        <f>SUM(K179:P179)*C179</f>
        <v>6268.9</v>
      </c>
      <c r="R179" s="69">
        <v>11</v>
      </c>
    </row>
    <row r="180" spans="1:18" ht="75" customHeight="1">
      <c r="A180" s="113">
        <v>3</v>
      </c>
      <c r="B180" s="143" t="s">
        <v>181</v>
      </c>
      <c r="C180" s="396">
        <v>1</v>
      </c>
      <c r="D180" s="144">
        <v>7001</v>
      </c>
      <c r="E180" s="144"/>
      <c r="F180" s="138">
        <f>D180*10%</f>
        <v>700.1</v>
      </c>
      <c r="G180" s="139"/>
      <c r="H180" s="145"/>
      <c r="I180" s="139"/>
      <c r="J180" s="145"/>
      <c r="K180" s="71">
        <f t="shared" si="11"/>
        <v>7701.1</v>
      </c>
      <c r="L180" s="145"/>
      <c r="M180" s="145"/>
      <c r="N180" s="141">
        <f aca="true" t="shared" si="12" ref="N180:N186">K180*0.3</f>
        <v>2310.33</v>
      </c>
      <c r="O180" s="86"/>
      <c r="P180" s="146"/>
      <c r="Q180" s="48">
        <f>SUM(K180:P180)*C180</f>
        <v>10011.43</v>
      </c>
      <c r="R180" s="147">
        <v>14</v>
      </c>
    </row>
    <row r="181" spans="1:18" ht="75" customHeight="1">
      <c r="A181" s="148">
        <v>4</v>
      </c>
      <c r="B181" s="46" t="s">
        <v>182</v>
      </c>
      <c r="C181" s="345">
        <v>0.5</v>
      </c>
      <c r="D181" s="149">
        <v>5699</v>
      </c>
      <c r="E181" s="74"/>
      <c r="F181" s="138">
        <f>D181*10%</f>
        <v>569.9</v>
      </c>
      <c r="G181" s="139"/>
      <c r="H181" s="74"/>
      <c r="I181" s="139"/>
      <c r="J181" s="74"/>
      <c r="K181" s="48">
        <f t="shared" si="11"/>
        <v>6268.9</v>
      </c>
      <c r="L181" s="74"/>
      <c r="M181" s="74"/>
      <c r="N181" s="141">
        <f t="shared" si="12"/>
        <v>1880.6699999999998</v>
      </c>
      <c r="O181" s="86"/>
      <c r="P181" s="150"/>
      <c r="Q181" s="48">
        <f>SUM(K181:P181)*C181</f>
        <v>4074.785</v>
      </c>
      <c r="R181" s="46">
        <v>11</v>
      </c>
    </row>
    <row r="182" spans="1:18" ht="75" customHeight="1">
      <c r="A182" s="113">
        <v>5</v>
      </c>
      <c r="B182" s="69" t="s">
        <v>183</v>
      </c>
      <c r="C182" s="338">
        <v>1</v>
      </c>
      <c r="D182" s="83">
        <v>6567</v>
      </c>
      <c r="E182" s="83"/>
      <c r="F182" s="108"/>
      <c r="G182" s="139"/>
      <c r="H182" s="83"/>
      <c r="I182" s="139"/>
      <c r="J182" s="83"/>
      <c r="K182" s="71">
        <f t="shared" si="11"/>
        <v>6567</v>
      </c>
      <c r="L182" s="83"/>
      <c r="M182" s="83"/>
      <c r="N182" s="141">
        <f t="shared" si="12"/>
        <v>1970.1</v>
      </c>
      <c r="O182" s="86"/>
      <c r="P182" s="142"/>
      <c r="Q182" s="48">
        <f>SUM(K182:P182)*C182</f>
        <v>8537.1</v>
      </c>
      <c r="R182" s="69">
        <v>13</v>
      </c>
    </row>
    <row r="183" spans="1:18" ht="67.5" customHeight="1">
      <c r="A183" s="474">
        <v>6</v>
      </c>
      <c r="B183" s="591" t="s">
        <v>194</v>
      </c>
      <c r="C183" s="587">
        <v>1</v>
      </c>
      <c r="D183" s="599">
        <v>5265</v>
      </c>
      <c r="E183" s="512"/>
      <c r="F183" s="604"/>
      <c r="G183" s="541"/>
      <c r="H183" s="83">
        <f>D183*0.15</f>
        <v>789.75</v>
      </c>
      <c r="I183" s="139"/>
      <c r="J183" s="512"/>
      <c r="K183" s="71">
        <f t="shared" si="11"/>
        <v>6054.75</v>
      </c>
      <c r="L183" s="512"/>
      <c r="M183" s="512"/>
      <c r="N183" s="141">
        <f>K183*0.1</f>
        <v>605.475</v>
      </c>
      <c r="O183" s="86"/>
      <c r="P183" s="543"/>
      <c r="Q183" s="144">
        <f>(K183+N183)*C183</f>
        <v>6660.225</v>
      </c>
      <c r="R183" s="601">
        <v>10</v>
      </c>
    </row>
    <row r="184" spans="1:18" ht="44.25" customHeight="1">
      <c r="A184"/>
      <c r="B184" s="592"/>
      <c r="C184" s="588"/>
      <c r="D184" s="600"/>
      <c r="E184" s="513"/>
      <c r="F184" s="605"/>
      <c r="G184" s="542"/>
      <c r="H184" s="138">
        <f>D183*0.6</f>
        <v>3159</v>
      </c>
      <c r="I184" s="139"/>
      <c r="J184" s="513"/>
      <c r="K184" s="71">
        <f>D183+H184</f>
        <v>8424</v>
      </c>
      <c r="L184" s="513"/>
      <c r="M184" s="513"/>
      <c r="N184" s="141">
        <f>K184*0.1</f>
        <v>842.4000000000001</v>
      </c>
      <c r="O184" s="86"/>
      <c r="P184" s="544"/>
      <c r="Q184" s="144">
        <f>(K184+N184)*C183</f>
        <v>9266.4</v>
      </c>
      <c r="R184" s="602"/>
    </row>
    <row r="185" spans="1:18" ht="75" customHeight="1">
      <c r="A185" s="152">
        <v>7</v>
      </c>
      <c r="B185" s="69" t="s">
        <v>184</v>
      </c>
      <c r="C185" s="338">
        <v>1</v>
      </c>
      <c r="D185" s="83">
        <v>6133</v>
      </c>
      <c r="E185" s="83"/>
      <c r="F185" s="108"/>
      <c r="G185" s="83"/>
      <c r="H185" s="153">
        <f>D185*0.25</f>
        <v>1533.25</v>
      </c>
      <c r="I185" s="83"/>
      <c r="J185" s="83"/>
      <c r="K185" s="71">
        <f t="shared" si="11"/>
        <v>7666.25</v>
      </c>
      <c r="L185" s="83"/>
      <c r="M185" s="83"/>
      <c r="N185" s="141">
        <f t="shared" si="12"/>
        <v>2299.875</v>
      </c>
      <c r="O185" s="86"/>
      <c r="P185" s="142"/>
      <c r="Q185" s="48">
        <f aca="true" t="shared" si="13" ref="Q185:Q202">SUM(K185:P185)*C185</f>
        <v>9966.125</v>
      </c>
      <c r="R185" s="69">
        <v>12</v>
      </c>
    </row>
    <row r="186" spans="1:18" ht="75" customHeight="1">
      <c r="A186" s="152">
        <v>8</v>
      </c>
      <c r="B186" s="69" t="s">
        <v>185</v>
      </c>
      <c r="C186" s="338">
        <v>1</v>
      </c>
      <c r="D186" s="83">
        <v>6567</v>
      </c>
      <c r="E186" s="83"/>
      <c r="F186" s="108"/>
      <c r="G186" s="83"/>
      <c r="H186" s="83"/>
      <c r="I186" s="83"/>
      <c r="J186" s="83"/>
      <c r="K186" s="71">
        <f t="shared" si="11"/>
        <v>6567</v>
      </c>
      <c r="L186" s="83"/>
      <c r="M186" s="83"/>
      <c r="N186" s="141">
        <f t="shared" si="12"/>
        <v>1970.1</v>
      </c>
      <c r="O186" s="86"/>
      <c r="P186" s="142"/>
      <c r="Q186" s="48">
        <f t="shared" si="13"/>
        <v>8537.1</v>
      </c>
      <c r="R186" s="69">
        <v>13</v>
      </c>
    </row>
    <row r="187" spans="1:18" ht="75" customHeight="1">
      <c r="A187" s="152">
        <v>9</v>
      </c>
      <c r="B187" s="69" t="s">
        <v>277</v>
      </c>
      <c r="C187" s="338">
        <v>0.5</v>
      </c>
      <c r="D187" s="83">
        <v>5265</v>
      </c>
      <c r="E187" s="83"/>
      <c r="F187" s="108"/>
      <c r="G187" s="83"/>
      <c r="H187" s="83"/>
      <c r="I187" s="83"/>
      <c r="J187" s="83"/>
      <c r="K187" s="71">
        <f t="shared" si="11"/>
        <v>5265</v>
      </c>
      <c r="L187" s="83"/>
      <c r="M187" s="83"/>
      <c r="N187" s="141">
        <f>K187*0.1</f>
        <v>526.5</v>
      </c>
      <c r="O187" s="86"/>
      <c r="P187" s="142"/>
      <c r="Q187" s="48">
        <f t="shared" si="13"/>
        <v>2895.75</v>
      </c>
      <c r="R187" s="69">
        <v>10</v>
      </c>
    </row>
    <row r="188" spans="1:18" ht="52.5" customHeight="1">
      <c r="A188" s="152">
        <v>10</v>
      </c>
      <c r="B188" s="69" t="s">
        <v>234</v>
      </c>
      <c r="C188" s="338">
        <v>1</v>
      </c>
      <c r="D188" s="83">
        <v>5699</v>
      </c>
      <c r="E188" s="108"/>
      <c r="F188" s="108"/>
      <c r="G188" s="83"/>
      <c r="H188" s="83">
        <f>D188*25%</f>
        <v>1424.75</v>
      </c>
      <c r="I188" s="83"/>
      <c r="J188" s="83"/>
      <c r="K188" s="71">
        <f t="shared" si="11"/>
        <v>7123.75</v>
      </c>
      <c r="L188" s="83"/>
      <c r="M188" s="83"/>
      <c r="N188" s="83">
        <f>K188*20%</f>
        <v>1424.75</v>
      </c>
      <c r="O188" s="86"/>
      <c r="P188" s="142"/>
      <c r="Q188" s="48">
        <f t="shared" si="13"/>
        <v>8548.5</v>
      </c>
      <c r="R188" s="69">
        <v>11</v>
      </c>
    </row>
    <row r="189" spans="1:18" ht="72" customHeight="1">
      <c r="A189" s="152">
        <v>11</v>
      </c>
      <c r="B189" s="69" t="s">
        <v>227</v>
      </c>
      <c r="C189" s="338">
        <v>1</v>
      </c>
      <c r="D189" s="83">
        <v>6567</v>
      </c>
      <c r="E189" s="108"/>
      <c r="F189" s="138">
        <f>D189*10%</f>
        <v>656.7</v>
      </c>
      <c r="G189" s="83"/>
      <c r="H189" s="83"/>
      <c r="I189" s="83"/>
      <c r="J189" s="83"/>
      <c r="K189" s="71">
        <f t="shared" si="11"/>
        <v>7223.7</v>
      </c>
      <c r="L189" s="83"/>
      <c r="M189" s="83"/>
      <c r="N189" s="153">
        <f>K189*30%</f>
        <v>2167.1099999999997</v>
      </c>
      <c r="O189" s="86"/>
      <c r="P189" s="142"/>
      <c r="Q189" s="48">
        <f t="shared" si="13"/>
        <v>9390.81</v>
      </c>
      <c r="R189" s="69">
        <v>13</v>
      </c>
    </row>
    <row r="190" spans="1:18" ht="75" customHeight="1">
      <c r="A190" s="152">
        <v>12</v>
      </c>
      <c r="B190" s="69" t="s">
        <v>158</v>
      </c>
      <c r="C190" s="338">
        <v>0.5</v>
      </c>
      <c r="D190" s="83">
        <v>5699</v>
      </c>
      <c r="E190" s="74"/>
      <c r="F190" s="138">
        <f>D190*10%</f>
        <v>569.9</v>
      </c>
      <c r="G190" s="83"/>
      <c r="H190" s="83"/>
      <c r="I190" s="83"/>
      <c r="J190" s="83"/>
      <c r="K190" s="71">
        <f t="shared" si="11"/>
        <v>6268.9</v>
      </c>
      <c r="L190" s="83"/>
      <c r="M190" s="83"/>
      <c r="N190" s="153">
        <f>K190*10%</f>
        <v>626.89</v>
      </c>
      <c r="O190" s="86"/>
      <c r="P190" s="142"/>
      <c r="Q190" s="48">
        <f t="shared" si="13"/>
        <v>3447.895</v>
      </c>
      <c r="R190" s="69">
        <v>11</v>
      </c>
    </row>
    <row r="191" spans="1:18" ht="45" customHeight="1">
      <c r="A191" s="152">
        <v>13</v>
      </c>
      <c r="B191" s="69" t="s">
        <v>311</v>
      </c>
      <c r="C191" s="338">
        <v>1</v>
      </c>
      <c r="D191" s="83">
        <v>6567</v>
      </c>
      <c r="E191" s="83"/>
      <c r="F191" s="138">
        <f>D191*10%</f>
        <v>656.7</v>
      </c>
      <c r="G191" s="83"/>
      <c r="H191" s="83"/>
      <c r="I191" s="83"/>
      <c r="J191" s="83"/>
      <c r="K191" s="71">
        <f t="shared" si="11"/>
        <v>7223.7</v>
      </c>
      <c r="L191" s="83"/>
      <c r="M191" s="83"/>
      <c r="N191" s="153">
        <f>K191*30%</f>
        <v>2167.1099999999997</v>
      </c>
      <c r="O191" s="86"/>
      <c r="P191" s="142"/>
      <c r="Q191" s="48">
        <f t="shared" si="13"/>
        <v>9390.81</v>
      </c>
      <c r="R191" s="69">
        <v>13</v>
      </c>
    </row>
    <row r="192" spans="1:18" ht="45" customHeight="1">
      <c r="A192" s="152">
        <v>14</v>
      </c>
      <c r="B192" s="69" t="s">
        <v>241</v>
      </c>
      <c r="C192" s="338">
        <v>0.5</v>
      </c>
      <c r="D192" s="83">
        <v>5699</v>
      </c>
      <c r="E192" s="83"/>
      <c r="F192" s="138">
        <f>D192*10%</f>
        <v>569.9</v>
      </c>
      <c r="G192" s="83"/>
      <c r="H192" s="83"/>
      <c r="I192" s="83"/>
      <c r="J192" s="83"/>
      <c r="K192" s="71">
        <f>SUM(D192:J192)</f>
        <v>6268.9</v>
      </c>
      <c r="L192" s="83"/>
      <c r="M192" s="83"/>
      <c r="N192" s="153">
        <f>K192*10%</f>
        <v>626.89</v>
      </c>
      <c r="O192" s="86"/>
      <c r="P192" s="142"/>
      <c r="Q192" s="48">
        <f t="shared" si="13"/>
        <v>3447.895</v>
      </c>
      <c r="R192" s="69">
        <v>11</v>
      </c>
    </row>
    <row r="193" spans="1:18" ht="45" customHeight="1">
      <c r="A193" s="597">
        <v>15</v>
      </c>
      <c r="B193" s="69" t="s">
        <v>149</v>
      </c>
      <c r="C193" s="345">
        <v>0.5</v>
      </c>
      <c r="D193" s="83">
        <v>5699</v>
      </c>
      <c r="E193" s="83"/>
      <c r="F193" s="138">
        <f>D193*10%</f>
        <v>569.9</v>
      </c>
      <c r="G193" s="83"/>
      <c r="H193" s="83"/>
      <c r="I193" s="83"/>
      <c r="J193" s="83"/>
      <c r="K193" s="71">
        <f t="shared" si="11"/>
        <v>6268.9</v>
      </c>
      <c r="L193" s="83"/>
      <c r="M193" s="83"/>
      <c r="N193" s="153">
        <f>K193*30%</f>
        <v>1880.6699999999998</v>
      </c>
      <c r="O193" s="86"/>
      <c r="P193" s="142"/>
      <c r="Q193" s="48">
        <f t="shared" si="13"/>
        <v>4074.785</v>
      </c>
      <c r="R193" s="69">
        <v>11</v>
      </c>
    </row>
    <row r="194" spans="1:18" ht="90" customHeight="1">
      <c r="A194" s="598"/>
      <c r="B194" s="69" t="s">
        <v>186</v>
      </c>
      <c r="C194" s="338">
        <v>1</v>
      </c>
      <c r="D194" s="83">
        <v>6133</v>
      </c>
      <c r="E194" s="154"/>
      <c r="F194" s="138"/>
      <c r="G194" s="83"/>
      <c r="H194" s="83">
        <f>D194*0.15</f>
        <v>919.9499999999999</v>
      </c>
      <c r="I194" s="83"/>
      <c r="J194" s="83"/>
      <c r="K194" s="71">
        <f t="shared" si="11"/>
        <v>7052.95</v>
      </c>
      <c r="L194" s="83"/>
      <c r="M194" s="83"/>
      <c r="N194" s="153">
        <f>K194*30%</f>
        <v>2115.8849999999998</v>
      </c>
      <c r="O194" s="86"/>
      <c r="P194" s="142"/>
      <c r="Q194" s="48">
        <f t="shared" si="13"/>
        <v>9168.835</v>
      </c>
      <c r="R194" s="69">
        <v>12</v>
      </c>
    </row>
    <row r="195" spans="1:18" ht="117" customHeight="1">
      <c r="A195" s="152">
        <v>16</v>
      </c>
      <c r="B195" s="69" t="s">
        <v>159</v>
      </c>
      <c r="C195" s="338">
        <v>1</v>
      </c>
      <c r="D195" s="83">
        <v>6133</v>
      </c>
      <c r="E195" s="74"/>
      <c r="F195" s="138"/>
      <c r="G195" s="83"/>
      <c r="H195" s="83">
        <f>D195*0.15</f>
        <v>919.9499999999999</v>
      </c>
      <c r="I195" s="83"/>
      <c r="J195" s="83"/>
      <c r="K195" s="71">
        <f t="shared" si="11"/>
        <v>7052.95</v>
      </c>
      <c r="L195" s="83"/>
      <c r="M195" s="83"/>
      <c r="N195" s="153">
        <f>K195*30%</f>
        <v>2115.8849999999998</v>
      </c>
      <c r="O195" s="86"/>
      <c r="P195" s="142"/>
      <c r="Q195" s="48">
        <f t="shared" si="13"/>
        <v>9168.835</v>
      </c>
      <c r="R195" s="69">
        <v>12</v>
      </c>
    </row>
    <row r="196" spans="1:18" ht="38.25" hidden="1">
      <c r="A196" s="152">
        <v>20</v>
      </c>
      <c r="B196" s="69" t="s">
        <v>152</v>
      </c>
      <c r="C196" s="338"/>
      <c r="D196" s="83"/>
      <c r="E196" s="83"/>
      <c r="F196" s="108"/>
      <c r="G196" s="83"/>
      <c r="H196" s="83"/>
      <c r="I196" s="83"/>
      <c r="J196" s="83"/>
      <c r="K196" s="71">
        <f t="shared" si="11"/>
        <v>0</v>
      </c>
      <c r="L196" s="83"/>
      <c r="M196" s="83"/>
      <c r="N196" s="141">
        <f>K196*20%</f>
        <v>0</v>
      </c>
      <c r="O196" s="86"/>
      <c r="P196" s="142"/>
      <c r="Q196" s="48">
        <f t="shared" si="13"/>
        <v>0</v>
      </c>
      <c r="R196" s="69"/>
    </row>
    <row r="197" spans="1:18" ht="75" customHeight="1">
      <c r="A197" s="152">
        <v>17</v>
      </c>
      <c r="B197" s="69" t="s">
        <v>150</v>
      </c>
      <c r="C197" s="338">
        <v>0.5</v>
      </c>
      <c r="D197" s="141">
        <v>5265</v>
      </c>
      <c r="E197" s="141"/>
      <c r="F197" s="108"/>
      <c r="G197" s="83"/>
      <c r="H197" s="141">
        <f>D197*15%</f>
        <v>789.75</v>
      </c>
      <c r="I197" s="83"/>
      <c r="J197" s="141"/>
      <c r="K197" s="71">
        <f t="shared" si="11"/>
        <v>6054.75</v>
      </c>
      <c r="L197" s="141"/>
      <c r="M197" s="141"/>
      <c r="N197" s="141">
        <f aca="true" t="shared" si="14" ref="N197:N202">K197*30%</f>
        <v>1816.425</v>
      </c>
      <c r="O197" s="86"/>
      <c r="P197" s="142"/>
      <c r="Q197" s="48">
        <f t="shared" si="13"/>
        <v>3935.5875</v>
      </c>
      <c r="R197" s="69">
        <v>10</v>
      </c>
    </row>
    <row r="198" spans="1:18" ht="75" customHeight="1">
      <c r="A198" s="152">
        <v>18</v>
      </c>
      <c r="B198" s="69" t="s">
        <v>354</v>
      </c>
      <c r="C198" s="338">
        <v>0.5</v>
      </c>
      <c r="D198" s="141">
        <v>5699</v>
      </c>
      <c r="E198" s="83"/>
      <c r="F198" s="108"/>
      <c r="G198" s="83"/>
      <c r="H198" s="141">
        <f>D198*15%</f>
        <v>854.85</v>
      </c>
      <c r="I198" s="83"/>
      <c r="J198" s="83"/>
      <c r="K198" s="71">
        <f t="shared" si="11"/>
        <v>6553.85</v>
      </c>
      <c r="L198" s="83"/>
      <c r="M198" s="83"/>
      <c r="N198" s="141">
        <f t="shared" si="14"/>
        <v>1966.155</v>
      </c>
      <c r="O198" s="86"/>
      <c r="P198" s="142"/>
      <c r="Q198" s="48">
        <f t="shared" si="13"/>
        <v>4260.0025000000005</v>
      </c>
      <c r="R198" s="69">
        <v>11</v>
      </c>
    </row>
    <row r="199" spans="1:18" ht="75" customHeight="1">
      <c r="A199" s="152">
        <v>19</v>
      </c>
      <c r="B199" s="69" t="s">
        <v>222</v>
      </c>
      <c r="C199" s="338">
        <v>0.5</v>
      </c>
      <c r="D199" s="83">
        <v>5699</v>
      </c>
      <c r="E199" s="83"/>
      <c r="F199" s="108"/>
      <c r="G199" s="83"/>
      <c r="H199" s="141">
        <f>D199*15%</f>
        <v>854.85</v>
      </c>
      <c r="I199" s="83"/>
      <c r="J199" s="83"/>
      <c r="K199" s="71">
        <f t="shared" si="11"/>
        <v>6553.85</v>
      </c>
      <c r="L199" s="83"/>
      <c r="M199" s="83"/>
      <c r="N199" s="141">
        <f>K199*10%</f>
        <v>655.3850000000001</v>
      </c>
      <c r="O199" s="86"/>
      <c r="P199" s="142"/>
      <c r="Q199" s="48">
        <f t="shared" si="13"/>
        <v>3604.6175000000003</v>
      </c>
      <c r="R199" s="69">
        <v>11</v>
      </c>
    </row>
    <row r="200" spans="1:18" ht="75" customHeight="1">
      <c r="A200" s="152">
        <v>20</v>
      </c>
      <c r="B200" s="69" t="s">
        <v>238</v>
      </c>
      <c r="C200" s="338">
        <v>1</v>
      </c>
      <c r="D200" s="83">
        <v>6567</v>
      </c>
      <c r="E200" s="83"/>
      <c r="F200" s="108"/>
      <c r="G200" s="83"/>
      <c r="H200" s="83"/>
      <c r="I200" s="83"/>
      <c r="J200" s="83"/>
      <c r="K200" s="71">
        <f t="shared" si="11"/>
        <v>6567</v>
      </c>
      <c r="L200" s="83"/>
      <c r="M200" s="83"/>
      <c r="N200" s="83">
        <f t="shared" si="14"/>
        <v>1970.1</v>
      </c>
      <c r="O200" s="86"/>
      <c r="P200" s="142"/>
      <c r="Q200" s="48">
        <f t="shared" si="13"/>
        <v>8537.1</v>
      </c>
      <c r="R200" s="69">
        <v>13</v>
      </c>
    </row>
    <row r="201" spans="1:18" ht="75" customHeight="1">
      <c r="A201" s="152">
        <v>21</v>
      </c>
      <c r="B201" s="155" t="s">
        <v>223</v>
      </c>
      <c r="C201" s="421">
        <v>0.5</v>
      </c>
      <c r="D201" s="74">
        <v>6567</v>
      </c>
      <c r="E201" s="74"/>
      <c r="F201" s="108"/>
      <c r="G201" s="83"/>
      <c r="H201" s="74">
        <f>D201*0.15</f>
        <v>985.05</v>
      </c>
      <c r="I201" s="83"/>
      <c r="J201" s="74"/>
      <c r="K201" s="71">
        <f t="shared" si="11"/>
        <v>7552.05</v>
      </c>
      <c r="L201" s="74"/>
      <c r="M201" s="74"/>
      <c r="N201" s="74">
        <f t="shared" si="14"/>
        <v>2265.615</v>
      </c>
      <c r="O201" s="86"/>
      <c r="P201" s="46"/>
      <c r="Q201" s="48">
        <f t="shared" si="13"/>
        <v>4908.8325</v>
      </c>
      <c r="R201" s="46">
        <v>13</v>
      </c>
    </row>
    <row r="202" spans="1:18" ht="75" customHeight="1">
      <c r="A202" s="152">
        <v>22</v>
      </c>
      <c r="B202" s="69" t="s">
        <v>280</v>
      </c>
      <c r="C202" s="338">
        <v>2</v>
      </c>
      <c r="D202" s="83">
        <v>6133</v>
      </c>
      <c r="E202" s="83"/>
      <c r="F202" s="108"/>
      <c r="G202" s="83"/>
      <c r="H202" s="83"/>
      <c r="I202" s="83"/>
      <c r="J202" s="83"/>
      <c r="K202" s="71">
        <f t="shared" si="11"/>
        <v>6133</v>
      </c>
      <c r="L202" s="83"/>
      <c r="M202" s="83"/>
      <c r="N202" s="83">
        <f t="shared" si="14"/>
        <v>1839.8999999999999</v>
      </c>
      <c r="O202" s="86"/>
      <c r="P202" s="142"/>
      <c r="Q202" s="48">
        <f t="shared" si="13"/>
        <v>15945.8</v>
      </c>
      <c r="R202" s="69">
        <v>12</v>
      </c>
    </row>
    <row r="203" spans="1:18" ht="75" customHeight="1">
      <c r="A203" s="152">
        <v>23</v>
      </c>
      <c r="B203" s="69" t="s">
        <v>271</v>
      </c>
      <c r="C203" s="338">
        <v>1</v>
      </c>
      <c r="D203" s="83">
        <v>5699</v>
      </c>
      <c r="E203" s="83"/>
      <c r="F203" s="108"/>
      <c r="G203" s="83"/>
      <c r="H203" s="83"/>
      <c r="I203" s="83"/>
      <c r="J203" s="83"/>
      <c r="K203" s="71">
        <f aca="true" t="shared" si="15" ref="K203:K208">SUM(D203:J203)</f>
        <v>5699</v>
      </c>
      <c r="L203" s="83"/>
      <c r="M203" s="83"/>
      <c r="N203" s="83">
        <f>K203*10%</f>
        <v>569.9</v>
      </c>
      <c r="O203" s="86"/>
      <c r="P203" s="142"/>
      <c r="Q203" s="48">
        <f aca="true" t="shared" si="16" ref="Q203:Q208">SUM(K203:P203)*C203</f>
        <v>6268.9</v>
      </c>
      <c r="R203" s="69">
        <v>11</v>
      </c>
    </row>
    <row r="204" spans="1:18" ht="75" customHeight="1">
      <c r="A204" s="152">
        <v>24</v>
      </c>
      <c r="B204" s="69" t="s">
        <v>330</v>
      </c>
      <c r="C204" s="339">
        <v>0.5</v>
      </c>
      <c r="D204" s="83">
        <v>5265</v>
      </c>
      <c r="E204" s="83"/>
      <c r="F204" s="108"/>
      <c r="G204" s="83"/>
      <c r="H204" s="83"/>
      <c r="I204" s="83"/>
      <c r="J204" s="83"/>
      <c r="K204" s="71">
        <f t="shared" si="15"/>
        <v>5265</v>
      </c>
      <c r="L204" s="83"/>
      <c r="M204" s="83"/>
      <c r="N204" s="83">
        <f>K204*30%</f>
        <v>1579.5</v>
      </c>
      <c r="O204" s="86"/>
      <c r="P204" s="142"/>
      <c r="Q204" s="48">
        <f>SUM(K204:P204)*C204</f>
        <v>3422.25</v>
      </c>
      <c r="R204" s="69">
        <v>10</v>
      </c>
    </row>
    <row r="205" spans="1:18" ht="75" customHeight="1">
      <c r="A205" s="152">
        <v>25</v>
      </c>
      <c r="B205" s="69" t="s">
        <v>331</v>
      </c>
      <c r="C205" s="339">
        <v>0.5</v>
      </c>
      <c r="D205" s="83">
        <v>6567</v>
      </c>
      <c r="E205" s="83"/>
      <c r="F205" s="108"/>
      <c r="G205" s="83"/>
      <c r="H205" s="83"/>
      <c r="I205" s="83"/>
      <c r="J205" s="83"/>
      <c r="K205" s="71">
        <f t="shared" si="15"/>
        <v>6567</v>
      </c>
      <c r="L205" s="83"/>
      <c r="M205" s="83"/>
      <c r="N205" s="83">
        <f>K205*30%</f>
        <v>1970.1</v>
      </c>
      <c r="O205" s="86"/>
      <c r="P205" s="142"/>
      <c r="Q205" s="48">
        <f t="shared" si="16"/>
        <v>4268.55</v>
      </c>
      <c r="R205" s="69">
        <v>13</v>
      </c>
    </row>
    <row r="206" spans="1:18" ht="75" customHeight="1">
      <c r="A206" s="152">
        <v>26</v>
      </c>
      <c r="B206" s="69" t="s">
        <v>278</v>
      </c>
      <c r="C206" s="338">
        <v>1</v>
      </c>
      <c r="D206" s="83">
        <v>5265</v>
      </c>
      <c r="E206" s="83"/>
      <c r="F206" s="108"/>
      <c r="G206" s="83"/>
      <c r="H206" s="83"/>
      <c r="I206" s="83"/>
      <c r="J206" s="83"/>
      <c r="K206" s="71">
        <f t="shared" si="15"/>
        <v>5265</v>
      </c>
      <c r="L206" s="83"/>
      <c r="M206" s="83"/>
      <c r="N206" s="83">
        <v>0</v>
      </c>
      <c r="O206" s="83"/>
      <c r="P206" s="142"/>
      <c r="Q206" s="48">
        <f t="shared" si="16"/>
        <v>5265</v>
      </c>
      <c r="R206" s="69">
        <v>10</v>
      </c>
    </row>
    <row r="207" spans="1:18" ht="75" customHeight="1">
      <c r="A207" s="152">
        <v>27</v>
      </c>
      <c r="B207" s="69" t="s">
        <v>273</v>
      </c>
      <c r="C207" s="338">
        <v>1</v>
      </c>
      <c r="D207" s="83">
        <v>5265</v>
      </c>
      <c r="E207" s="83"/>
      <c r="F207" s="108"/>
      <c r="G207" s="83"/>
      <c r="H207" s="83"/>
      <c r="I207" s="83"/>
      <c r="J207" s="83"/>
      <c r="K207" s="71">
        <f t="shared" si="15"/>
        <v>5265</v>
      </c>
      <c r="L207" s="83"/>
      <c r="M207" s="83"/>
      <c r="N207" s="83">
        <v>0</v>
      </c>
      <c r="O207" s="83"/>
      <c r="P207" s="142"/>
      <c r="Q207" s="48">
        <f t="shared" si="16"/>
        <v>5265</v>
      </c>
      <c r="R207" s="69">
        <v>10</v>
      </c>
    </row>
    <row r="208" spans="1:18" ht="75" customHeight="1">
      <c r="A208" s="152">
        <v>28</v>
      </c>
      <c r="B208" s="69" t="s">
        <v>272</v>
      </c>
      <c r="C208" s="338">
        <v>1</v>
      </c>
      <c r="D208" s="83">
        <v>5265</v>
      </c>
      <c r="E208" s="83"/>
      <c r="F208" s="108"/>
      <c r="G208" s="83"/>
      <c r="H208" s="83"/>
      <c r="I208" s="83"/>
      <c r="J208" s="83"/>
      <c r="K208" s="71">
        <f t="shared" si="15"/>
        <v>5265</v>
      </c>
      <c r="L208" s="83"/>
      <c r="M208" s="83"/>
      <c r="N208" s="83">
        <v>0</v>
      </c>
      <c r="O208" s="83"/>
      <c r="P208" s="142"/>
      <c r="Q208" s="48">
        <f t="shared" si="16"/>
        <v>5265</v>
      </c>
      <c r="R208" s="69">
        <v>10</v>
      </c>
    </row>
    <row r="209" spans="1:18" ht="63.75" customHeight="1">
      <c r="A209" s="65"/>
      <c r="B209" s="65"/>
      <c r="C209" s="419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154">
        <f>Q178+Q179+Q180+Q181+Q182+Q183+Q184+Q185+Q186+Q187+Q188+Q189+Q190+Q191+Q192+Q193+Q194+Q195+Q197+Q198+Q199+Q200+Q201+Q202+Q203+Q204+Q205+Q206+Q207+Q208</f>
        <v>201068.51999999996</v>
      </c>
      <c r="R209" s="65"/>
    </row>
    <row r="210" spans="1:18" ht="30.75" customHeight="1" hidden="1">
      <c r="A210" s="156">
        <v>33</v>
      </c>
      <c r="B210" s="157" t="s">
        <v>151</v>
      </c>
      <c r="C210" s="422"/>
      <c r="D210" s="158"/>
      <c r="E210" s="104"/>
      <c r="F210" s="104"/>
      <c r="G210" s="104"/>
      <c r="H210" s="104"/>
      <c r="I210" s="104"/>
      <c r="J210" s="104"/>
      <c r="K210" s="100"/>
      <c r="L210" s="104"/>
      <c r="M210" s="104"/>
      <c r="N210" s="104"/>
      <c r="O210" s="104"/>
      <c r="P210" s="104"/>
      <c r="Q210" s="52">
        <f>SUM(K210:P210)*C210</f>
        <v>0</v>
      </c>
      <c r="R210" s="69"/>
    </row>
    <row r="211" spans="1:18" ht="41.25" customHeight="1">
      <c r="A211" s="159"/>
      <c r="B211" s="538" t="s">
        <v>34</v>
      </c>
      <c r="C211" s="539"/>
      <c r="D211" s="539"/>
      <c r="E211" s="539"/>
      <c r="F211" s="539"/>
      <c r="G211" s="539"/>
      <c r="H211" s="539"/>
      <c r="I211" s="539"/>
      <c r="J211" s="539"/>
      <c r="K211" s="539"/>
      <c r="L211" s="539"/>
      <c r="M211" s="539"/>
      <c r="N211" s="539"/>
      <c r="O211" s="539"/>
      <c r="P211" s="539"/>
      <c r="Q211" s="539"/>
      <c r="R211" s="540"/>
    </row>
    <row r="212" spans="1:18" ht="76.5">
      <c r="A212" s="113">
        <v>29</v>
      </c>
      <c r="B212" s="69" t="s">
        <v>281</v>
      </c>
      <c r="C212" s="338">
        <v>1</v>
      </c>
      <c r="D212" s="70">
        <v>6567</v>
      </c>
      <c r="E212" s="109">
        <f>D212*10%</f>
        <v>656.7</v>
      </c>
      <c r="F212" s="48">
        <f>(D212+E212)*0.1</f>
        <v>722.37</v>
      </c>
      <c r="G212" s="71"/>
      <c r="H212" s="71"/>
      <c r="I212" s="71"/>
      <c r="J212" s="71"/>
      <c r="K212" s="71">
        <f t="shared" si="11"/>
        <v>7946.07</v>
      </c>
      <c r="L212" s="71"/>
      <c r="M212" s="71"/>
      <c r="N212" s="70">
        <f>K212*0.3</f>
        <v>2383.821</v>
      </c>
      <c r="O212" s="71"/>
      <c r="P212" s="100"/>
      <c r="Q212" s="48">
        <f>SUM(K212:P212)*C212</f>
        <v>10329.891</v>
      </c>
      <c r="R212" s="72">
        <v>13</v>
      </c>
    </row>
    <row r="213" spans="1:18" ht="56.25" customHeight="1">
      <c r="A213" s="113">
        <v>30</v>
      </c>
      <c r="B213" s="69" t="s">
        <v>282</v>
      </c>
      <c r="C213" s="338">
        <v>1</v>
      </c>
      <c r="D213" s="70">
        <v>6567</v>
      </c>
      <c r="E213" s="83"/>
      <c r="F213" s="48">
        <f>(D213+E213)*0.1</f>
        <v>656.7</v>
      </c>
      <c r="G213" s="71"/>
      <c r="H213" s="83"/>
      <c r="I213" s="83"/>
      <c r="J213" s="83"/>
      <c r="K213" s="71">
        <f t="shared" si="11"/>
        <v>7223.7</v>
      </c>
      <c r="L213" s="83"/>
      <c r="M213" s="83"/>
      <c r="N213" s="47">
        <f>K213*0.3</f>
        <v>2167.1099999999997</v>
      </c>
      <c r="O213" s="71"/>
      <c r="P213" s="142"/>
      <c r="Q213" s="48">
        <f>SUM(K213:P213)*C213</f>
        <v>9390.81</v>
      </c>
      <c r="R213" s="72">
        <v>13</v>
      </c>
    </row>
    <row r="214" spans="1:18" ht="76.5">
      <c r="A214" s="113">
        <v>31</v>
      </c>
      <c r="B214" s="69" t="s">
        <v>195</v>
      </c>
      <c r="C214" s="339">
        <v>0.5</v>
      </c>
      <c r="D214" s="70">
        <v>6567</v>
      </c>
      <c r="E214" s="71"/>
      <c r="F214" s="71"/>
      <c r="G214" s="71"/>
      <c r="H214" s="71"/>
      <c r="I214" s="71"/>
      <c r="J214" s="71"/>
      <c r="K214" s="71">
        <f t="shared" si="11"/>
        <v>6567</v>
      </c>
      <c r="L214" s="71"/>
      <c r="M214" s="71"/>
      <c r="N214" s="109">
        <f>K214*0.3</f>
        <v>1970.1</v>
      </c>
      <c r="O214" s="71"/>
      <c r="P214" s="100"/>
      <c r="Q214" s="48">
        <f>SUM(K214:P214)*C214</f>
        <v>4268.55</v>
      </c>
      <c r="R214" s="72">
        <v>13</v>
      </c>
    </row>
    <row r="215" spans="1:18" ht="38.25">
      <c r="A215" s="148">
        <v>32</v>
      </c>
      <c r="B215" s="277" t="s">
        <v>242</v>
      </c>
      <c r="C215" s="364">
        <v>1</v>
      </c>
      <c r="D215" s="332">
        <v>5265</v>
      </c>
      <c r="E215" s="89"/>
      <c r="F215" s="89"/>
      <c r="G215" s="71"/>
      <c r="H215" s="89"/>
      <c r="I215" s="89"/>
      <c r="J215" s="89"/>
      <c r="K215" s="85">
        <f>D215+E215+F215+G215+H215+I215+J215</f>
        <v>5265</v>
      </c>
      <c r="L215" s="89"/>
      <c r="M215" s="89"/>
      <c r="N215" s="332"/>
      <c r="O215" s="89"/>
      <c r="P215" s="333"/>
      <c r="Q215" s="89">
        <f>SUM(K215:P215)*C215</f>
        <v>5265</v>
      </c>
      <c r="R215" s="49">
        <v>10</v>
      </c>
    </row>
    <row r="216" spans="1:18" ht="38.25">
      <c r="A216" s="96" t="s">
        <v>217</v>
      </c>
      <c r="B216" s="111"/>
      <c r="C216" s="379">
        <f>C215+C214+C212+C206+C202+C201+C200+C199+C198+C197+C195+C194+C193+C192+C191+C190+C189+C188+C186+C185+C183+C182+C181+C180+C179+C207+C203+C213+C208+C204+C205+C187+C178</f>
        <v>28</v>
      </c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 t="s">
        <v>35</v>
      </c>
      <c r="P216" s="111"/>
      <c r="Q216" s="402">
        <f>Q179+Q180+Q181+Q182+Q183+Q184+Q185+Q186+Q187+Q188+Q189+Q190+Q191+Q192+Q193+Q194+Q195+Q197+Q198+Q199+Q200+Q201+Q202+Q203+Q204+Q205+Q206+Q207+Q208+Q212+Q213+Q214+Q215+Q178</f>
        <v>230322.77099999995</v>
      </c>
      <c r="R216" s="111"/>
    </row>
    <row r="217" spans="1:18" ht="111" customHeight="1">
      <c r="A217" s="96" t="s">
        <v>218</v>
      </c>
      <c r="B217" s="162"/>
      <c r="C217" s="423"/>
      <c r="D217" s="163"/>
      <c r="E217" s="163"/>
      <c r="F217" s="163"/>
      <c r="G217" s="163"/>
      <c r="H217" s="162"/>
      <c r="I217" s="162"/>
      <c r="J217" s="162"/>
      <c r="K217" s="162"/>
      <c r="L217" s="162"/>
      <c r="M217" s="65"/>
      <c r="N217" s="65"/>
      <c r="O217" s="65"/>
      <c r="P217" s="65"/>
      <c r="Q217" s="65" t="s">
        <v>126</v>
      </c>
      <c r="R217" s="65"/>
    </row>
    <row r="218" spans="1:18" ht="43.5" customHeight="1">
      <c r="A218" s="66">
        <v>1</v>
      </c>
      <c r="B218" s="67">
        <v>2</v>
      </c>
      <c r="C218" s="349">
        <v>3</v>
      </c>
      <c r="D218" s="67">
        <v>4</v>
      </c>
      <c r="E218" s="67">
        <v>5</v>
      </c>
      <c r="F218" s="67">
        <v>6</v>
      </c>
      <c r="G218" s="67">
        <v>7</v>
      </c>
      <c r="H218" s="67">
        <v>8</v>
      </c>
      <c r="I218" s="67">
        <v>9</v>
      </c>
      <c r="J218" s="67">
        <v>10</v>
      </c>
      <c r="K218" s="67">
        <v>11</v>
      </c>
      <c r="L218" s="67">
        <v>12</v>
      </c>
      <c r="M218" s="67">
        <v>13</v>
      </c>
      <c r="N218" s="67">
        <v>14</v>
      </c>
      <c r="O218" s="67">
        <v>15</v>
      </c>
      <c r="P218" s="67">
        <v>16</v>
      </c>
      <c r="Q218" s="67">
        <v>17</v>
      </c>
      <c r="R218" s="67">
        <v>18</v>
      </c>
    </row>
    <row r="219" spans="1:18" ht="76.5">
      <c r="A219" s="164">
        <v>1</v>
      </c>
      <c r="B219" s="69" t="s">
        <v>312</v>
      </c>
      <c r="C219" s="338">
        <v>1</v>
      </c>
      <c r="D219" s="71">
        <v>4745</v>
      </c>
      <c r="E219" s="71">
        <f>D219*0.1</f>
        <v>474.5</v>
      </c>
      <c r="F219" s="71"/>
      <c r="G219" s="71"/>
      <c r="H219" s="71"/>
      <c r="I219" s="71"/>
      <c r="J219" s="71"/>
      <c r="K219" s="71">
        <f aca="true" t="shared" si="17" ref="K219:K244">SUM(D219:J219)</f>
        <v>5219.5</v>
      </c>
      <c r="L219" s="71"/>
      <c r="M219" s="71"/>
      <c r="N219" s="71">
        <f>K219*0.3</f>
        <v>1565.85</v>
      </c>
      <c r="O219" s="71"/>
      <c r="P219" s="100"/>
      <c r="Q219" s="48">
        <f aca="true" t="shared" si="18" ref="Q219:Q224">SUM(K219:P219)*C219</f>
        <v>6785.35</v>
      </c>
      <c r="R219" s="72">
        <v>8</v>
      </c>
    </row>
    <row r="220" spans="1:18" ht="76.5">
      <c r="A220" s="164">
        <v>2</v>
      </c>
      <c r="B220" s="69" t="s">
        <v>313</v>
      </c>
      <c r="C220" s="338">
        <v>0.5</v>
      </c>
      <c r="D220" s="71">
        <v>4745</v>
      </c>
      <c r="E220" s="71"/>
      <c r="F220" s="71"/>
      <c r="G220" s="71"/>
      <c r="H220" s="71"/>
      <c r="I220" s="71"/>
      <c r="J220" s="71"/>
      <c r="K220" s="71">
        <f>SUM(D220:J220)</f>
        <v>4745</v>
      </c>
      <c r="L220" s="71"/>
      <c r="M220" s="71"/>
      <c r="N220" s="71">
        <f>K220*0.3</f>
        <v>1423.5</v>
      </c>
      <c r="O220" s="71"/>
      <c r="P220" s="100"/>
      <c r="Q220" s="48">
        <f t="shared" si="18"/>
        <v>3084.25</v>
      </c>
      <c r="R220" s="72">
        <v>8</v>
      </c>
    </row>
    <row r="221" spans="1:18" ht="76.5">
      <c r="A221" s="164">
        <v>3</v>
      </c>
      <c r="B221" s="69" t="s">
        <v>314</v>
      </c>
      <c r="C221" s="338">
        <v>1</v>
      </c>
      <c r="D221" s="99">
        <v>4745</v>
      </c>
      <c r="E221" s="71"/>
      <c r="F221" s="71"/>
      <c r="G221" s="71"/>
      <c r="H221" s="71">
        <f>D221*0.25</f>
        <v>1186.25</v>
      </c>
      <c r="I221" s="71"/>
      <c r="J221" s="71"/>
      <c r="K221" s="71">
        <f t="shared" si="17"/>
        <v>5931.25</v>
      </c>
      <c r="L221" s="71"/>
      <c r="M221" s="71"/>
      <c r="N221" s="71">
        <f>K221*0.2</f>
        <v>1186.25</v>
      </c>
      <c r="O221" s="71"/>
      <c r="P221" s="100"/>
      <c r="Q221" s="48">
        <f t="shared" si="18"/>
        <v>7117.5</v>
      </c>
      <c r="R221" s="72">
        <v>8</v>
      </c>
    </row>
    <row r="222" spans="1:18" ht="75.75" customHeight="1">
      <c r="A222" s="164">
        <v>4</v>
      </c>
      <c r="B222" s="69" t="s">
        <v>315</v>
      </c>
      <c r="C222" s="338">
        <v>1</v>
      </c>
      <c r="D222" s="71">
        <v>5005</v>
      </c>
      <c r="E222" s="71"/>
      <c r="F222" s="71"/>
      <c r="G222" s="71"/>
      <c r="H222" s="71">
        <f>D222*0.15</f>
        <v>750.75</v>
      </c>
      <c r="I222" s="71"/>
      <c r="J222" s="71"/>
      <c r="K222" s="71">
        <f t="shared" si="17"/>
        <v>5755.75</v>
      </c>
      <c r="L222" s="71"/>
      <c r="M222" s="71"/>
      <c r="N222" s="71">
        <f>K222*0.3</f>
        <v>1726.725</v>
      </c>
      <c r="O222" s="71"/>
      <c r="P222" s="100"/>
      <c r="Q222" s="48">
        <f t="shared" si="18"/>
        <v>7482.475</v>
      </c>
      <c r="R222" s="72">
        <v>9</v>
      </c>
    </row>
    <row r="223" spans="1:18" ht="75.75" customHeight="1">
      <c r="A223" s="164">
        <v>5</v>
      </c>
      <c r="B223" s="69" t="s">
        <v>270</v>
      </c>
      <c r="C223" s="338">
        <v>1</v>
      </c>
      <c r="D223" s="71">
        <v>5005</v>
      </c>
      <c r="E223" s="71"/>
      <c r="F223" s="71"/>
      <c r="G223" s="71"/>
      <c r="H223" s="71"/>
      <c r="I223" s="71"/>
      <c r="J223" s="71"/>
      <c r="K223" s="71">
        <f t="shared" si="17"/>
        <v>5005</v>
      </c>
      <c r="L223" s="71"/>
      <c r="M223" s="71"/>
      <c r="N223" s="71">
        <f>K223*0.3</f>
        <v>1501.5</v>
      </c>
      <c r="O223" s="71"/>
      <c r="P223" s="100"/>
      <c r="Q223" s="48">
        <f t="shared" si="18"/>
        <v>6506.5</v>
      </c>
      <c r="R223" s="72">
        <v>9</v>
      </c>
    </row>
    <row r="224" spans="1:18" ht="84" customHeight="1">
      <c r="A224" s="164">
        <v>6</v>
      </c>
      <c r="B224" s="69" t="s">
        <v>316</v>
      </c>
      <c r="C224" s="424">
        <v>1</v>
      </c>
      <c r="D224" s="71">
        <v>5265</v>
      </c>
      <c r="E224" s="165"/>
      <c r="F224" s="165"/>
      <c r="G224" s="165"/>
      <c r="H224" s="165"/>
      <c r="I224" s="165"/>
      <c r="J224" s="165"/>
      <c r="K224" s="71">
        <f t="shared" si="17"/>
        <v>5265</v>
      </c>
      <c r="L224" s="165"/>
      <c r="M224" s="165"/>
      <c r="N224" s="71">
        <f>K224*0.2</f>
        <v>1053</v>
      </c>
      <c r="O224" s="165"/>
      <c r="P224" s="166"/>
      <c r="Q224" s="48">
        <f t="shared" si="18"/>
        <v>6318</v>
      </c>
      <c r="R224" s="119">
        <v>10</v>
      </c>
    </row>
    <row r="225" spans="1:18" ht="38.25" customHeight="1">
      <c r="A225" s="593">
        <v>7</v>
      </c>
      <c r="B225" s="591" t="s">
        <v>239</v>
      </c>
      <c r="C225" s="587">
        <v>1</v>
      </c>
      <c r="D225" s="512">
        <v>5005</v>
      </c>
      <c r="E225" s="512"/>
      <c r="F225" s="512"/>
      <c r="G225" s="512"/>
      <c r="H225" s="151">
        <f>D225*0.15</f>
        <v>750.75</v>
      </c>
      <c r="I225" s="512"/>
      <c r="J225" s="512"/>
      <c r="K225" s="71">
        <f t="shared" si="17"/>
        <v>5755.75</v>
      </c>
      <c r="L225" s="512"/>
      <c r="M225" s="512"/>
      <c r="N225" s="167">
        <f>K225*0.3</f>
        <v>1726.725</v>
      </c>
      <c r="O225" s="512"/>
      <c r="P225" s="543"/>
      <c r="Q225" s="512">
        <f>(K225+K226+N225+N226)*C225</f>
        <v>12887.875</v>
      </c>
      <c r="R225" s="589">
        <v>9</v>
      </c>
    </row>
    <row r="226" spans="1:28" s="14" customFormat="1" ht="38.25">
      <c r="A226" s="594"/>
      <c r="B226" s="592"/>
      <c r="C226" s="588"/>
      <c r="D226" s="513"/>
      <c r="E226" s="513"/>
      <c r="F226" s="513"/>
      <c r="G226" s="513"/>
      <c r="H226" s="47">
        <f>D225*0.6</f>
        <v>3003</v>
      </c>
      <c r="I226" s="513"/>
      <c r="J226" s="513"/>
      <c r="K226" s="71">
        <f t="shared" si="17"/>
        <v>3003</v>
      </c>
      <c r="L226" s="513"/>
      <c r="M226" s="513"/>
      <c r="N226" s="129">
        <f>K226*0.8</f>
        <v>2402.4</v>
      </c>
      <c r="O226" s="513"/>
      <c r="P226" s="544"/>
      <c r="Q226" s="513"/>
      <c r="R226" s="590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18" ht="114.75">
      <c r="A227" s="53">
        <v>8</v>
      </c>
      <c r="B227" s="46" t="s">
        <v>317</v>
      </c>
      <c r="C227" s="345">
        <v>1</v>
      </c>
      <c r="D227" s="48">
        <v>4195</v>
      </c>
      <c r="E227" s="48"/>
      <c r="F227" s="48"/>
      <c r="G227" s="48"/>
      <c r="H227" s="48"/>
      <c r="I227" s="48"/>
      <c r="J227" s="48"/>
      <c r="K227" s="71">
        <f t="shared" si="17"/>
        <v>4195</v>
      </c>
      <c r="L227" s="48"/>
      <c r="M227" s="48"/>
      <c r="N227" s="48">
        <f>K227*0.1</f>
        <v>419.5</v>
      </c>
      <c r="O227" s="48"/>
      <c r="P227" s="52"/>
      <c r="Q227" s="48">
        <f aca="true" t="shared" si="19" ref="Q227:Q244">SUM(K227:P227)*C227</f>
        <v>4614.5</v>
      </c>
      <c r="R227" s="56">
        <v>6</v>
      </c>
    </row>
    <row r="228" spans="1:18" ht="114.75">
      <c r="A228" s="53">
        <v>9</v>
      </c>
      <c r="B228" s="46" t="s">
        <v>229</v>
      </c>
      <c r="C228" s="345">
        <v>1</v>
      </c>
      <c r="D228" s="48">
        <v>5005</v>
      </c>
      <c r="E228" s="48"/>
      <c r="F228" s="48"/>
      <c r="G228" s="48"/>
      <c r="H228" s="48"/>
      <c r="I228" s="48"/>
      <c r="J228" s="48"/>
      <c r="K228" s="71">
        <f t="shared" si="17"/>
        <v>5005</v>
      </c>
      <c r="L228" s="48"/>
      <c r="M228" s="48"/>
      <c r="N228" s="48">
        <f>K228*0.3</f>
        <v>1501.5</v>
      </c>
      <c r="O228" s="48"/>
      <c r="P228" s="52"/>
      <c r="Q228" s="48">
        <f t="shared" si="19"/>
        <v>6506.5</v>
      </c>
      <c r="R228" s="56">
        <v>9</v>
      </c>
    </row>
    <row r="229" spans="1:18" ht="114.75">
      <c r="A229" s="53">
        <v>10</v>
      </c>
      <c r="B229" s="46" t="s">
        <v>192</v>
      </c>
      <c r="C229" s="345">
        <v>1</v>
      </c>
      <c r="D229" s="48">
        <v>5005</v>
      </c>
      <c r="E229" s="48"/>
      <c r="F229" s="48"/>
      <c r="G229" s="48"/>
      <c r="H229" s="48"/>
      <c r="I229" s="48"/>
      <c r="J229" s="48"/>
      <c r="K229" s="71">
        <f t="shared" si="17"/>
        <v>5005</v>
      </c>
      <c r="L229" s="48"/>
      <c r="M229" s="48"/>
      <c r="N229" s="48">
        <f>K229*0.3</f>
        <v>1501.5</v>
      </c>
      <c r="O229" s="48"/>
      <c r="P229" s="52"/>
      <c r="Q229" s="48">
        <f t="shared" si="19"/>
        <v>6506.5</v>
      </c>
      <c r="R229" s="56">
        <v>9</v>
      </c>
    </row>
    <row r="230" spans="1:18" ht="114.75">
      <c r="A230" s="53">
        <v>11</v>
      </c>
      <c r="B230" s="46" t="s">
        <v>160</v>
      </c>
      <c r="C230" s="345">
        <v>1</v>
      </c>
      <c r="D230" s="48">
        <v>5005</v>
      </c>
      <c r="E230" s="48"/>
      <c r="F230" s="48"/>
      <c r="G230" s="48"/>
      <c r="H230" s="48"/>
      <c r="I230" s="48"/>
      <c r="J230" s="48"/>
      <c r="K230" s="71">
        <f t="shared" si="17"/>
        <v>5005</v>
      </c>
      <c r="L230" s="48"/>
      <c r="M230" s="48"/>
      <c r="N230" s="48">
        <f>K230*0.2</f>
        <v>1001</v>
      </c>
      <c r="O230" s="48"/>
      <c r="P230" s="52"/>
      <c r="Q230" s="48">
        <f t="shared" si="19"/>
        <v>6006</v>
      </c>
      <c r="R230" s="56">
        <v>9</v>
      </c>
    </row>
    <row r="231" spans="1:18" ht="114.75">
      <c r="A231" s="53">
        <v>12</v>
      </c>
      <c r="B231" s="46" t="s">
        <v>201</v>
      </c>
      <c r="C231" s="345">
        <v>1</v>
      </c>
      <c r="D231" s="48">
        <v>5005</v>
      </c>
      <c r="E231" s="48"/>
      <c r="F231" s="48"/>
      <c r="G231" s="48"/>
      <c r="H231" s="48"/>
      <c r="I231" s="48"/>
      <c r="J231" s="48"/>
      <c r="K231" s="71">
        <f t="shared" si="17"/>
        <v>5005</v>
      </c>
      <c r="L231" s="48"/>
      <c r="M231" s="48"/>
      <c r="N231" s="48">
        <f>K231*0.3</f>
        <v>1501.5</v>
      </c>
      <c r="O231" s="48"/>
      <c r="P231" s="52"/>
      <c r="Q231" s="48">
        <f t="shared" si="19"/>
        <v>6506.5</v>
      </c>
      <c r="R231" s="56">
        <v>9</v>
      </c>
    </row>
    <row r="232" spans="1:18" ht="114.75">
      <c r="A232" s="53">
        <v>13</v>
      </c>
      <c r="B232" s="46" t="s">
        <v>161</v>
      </c>
      <c r="C232" s="345">
        <v>1</v>
      </c>
      <c r="D232" s="48">
        <v>5005</v>
      </c>
      <c r="E232" s="48"/>
      <c r="F232" s="48"/>
      <c r="G232" s="48"/>
      <c r="H232" s="48"/>
      <c r="I232" s="48"/>
      <c r="J232" s="48"/>
      <c r="K232" s="71">
        <f t="shared" si="17"/>
        <v>5005</v>
      </c>
      <c r="L232" s="48"/>
      <c r="M232" s="48"/>
      <c r="N232" s="48">
        <f>K232*0.3</f>
        <v>1501.5</v>
      </c>
      <c r="O232" s="48"/>
      <c r="P232" s="52"/>
      <c r="Q232" s="48">
        <f t="shared" si="19"/>
        <v>6506.5</v>
      </c>
      <c r="R232" s="56">
        <v>9</v>
      </c>
    </row>
    <row r="233" spans="1:18" ht="103.5" customHeight="1">
      <c r="A233" s="53">
        <v>14</v>
      </c>
      <c r="B233" s="46" t="s">
        <v>162</v>
      </c>
      <c r="C233" s="345">
        <v>0.5</v>
      </c>
      <c r="D233" s="48">
        <v>5005</v>
      </c>
      <c r="E233" s="48"/>
      <c r="F233" s="48"/>
      <c r="G233" s="48"/>
      <c r="H233" s="48">
        <f>D233*0.15</f>
        <v>750.75</v>
      </c>
      <c r="I233" s="48"/>
      <c r="J233" s="48"/>
      <c r="K233" s="71">
        <f t="shared" si="17"/>
        <v>5755.75</v>
      </c>
      <c r="L233" s="48"/>
      <c r="M233" s="48"/>
      <c r="N233" s="48">
        <f>K233*0.3</f>
        <v>1726.725</v>
      </c>
      <c r="O233" s="48"/>
      <c r="P233" s="52"/>
      <c r="Q233" s="48">
        <f t="shared" si="19"/>
        <v>3741.2375</v>
      </c>
      <c r="R233" s="56">
        <v>9</v>
      </c>
    </row>
    <row r="234" spans="1:18" ht="114.75">
      <c r="A234" s="53">
        <v>15</v>
      </c>
      <c r="B234" s="46" t="s">
        <v>249</v>
      </c>
      <c r="C234" s="350">
        <v>0.25</v>
      </c>
      <c r="D234" s="48">
        <v>4195</v>
      </c>
      <c r="E234" s="48"/>
      <c r="F234" s="48"/>
      <c r="G234" s="48"/>
      <c r="H234" s="48">
        <f>D234*0.15</f>
        <v>629.25</v>
      </c>
      <c r="I234" s="48"/>
      <c r="J234" s="48"/>
      <c r="K234" s="71">
        <f t="shared" si="17"/>
        <v>4824.25</v>
      </c>
      <c r="L234" s="48"/>
      <c r="M234" s="48"/>
      <c r="N234" s="48">
        <f>K234*0.1</f>
        <v>482.425</v>
      </c>
      <c r="O234" s="48"/>
      <c r="P234" s="52"/>
      <c r="Q234" s="48">
        <f t="shared" si="19"/>
        <v>1326.66875</v>
      </c>
      <c r="R234" s="56">
        <v>6</v>
      </c>
    </row>
    <row r="235" spans="1:18" ht="76.5">
      <c r="A235" s="53">
        <v>16</v>
      </c>
      <c r="B235" s="46" t="s">
        <v>235</v>
      </c>
      <c r="C235" s="345">
        <v>1</v>
      </c>
      <c r="D235" s="48">
        <v>4455</v>
      </c>
      <c r="E235" s="48"/>
      <c r="F235" s="48"/>
      <c r="G235" s="48"/>
      <c r="H235" s="48"/>
      <c r="I235" s="48"/>
      <c r="J235" s="48"/>
      <c r="K235" s="71">
        <f t="shared" si="17"/>
        <v>4455</v>
      </c>
      <c r="L235" s="48"/>
      <c r="M235" s="48"/>
      <c r="N235" s="48">
        <f>K235*0.1</f>
        <v>445.5</v>
      </c>
      <c r="O235" s="48"/>
      <c r="P235" s="52"/>
      <c r="Q235" s="48">
        <f t="shared" si="19"/>
        <v>4900.5</v>
      </c>
      <c r="R235" s="56">
        <v>7</v>
      </c>
    </row>
    <row r="236" spans="1:18" ht="76.5">
      <c r="A236" s="53">
        <v>17</v>
      </c>
      <c r="B236" s="128" t="s">
        <v>191</v>
      </c>
      <c r="C236" s="345">
        <v>1</v>
      </c>
      <c r="D236" s="71">
        <v>5005</v>
      </c>
      <c r="E236" s="48"/>
      <c r="F236" s="48"/>
      <c r="G236" s="48"/>
      <c r="H236" s="48"/>
      <c r="I236" s="48"/>
      <c r="J236" s="48"/>
      <c r="K236" s="71">
        <f t="shared" si="17"/>
        <v>5005</v>
      </c>
      <c r="L236" s="48"/>
      <c r="M236" s="48"/>
      <c r="N236" s="48">
        <f aca="true" t="shared" si="20" ref="N236:N244">K236*0.3</f>
        <v>1501.5</v>
      </c>
      <c r="O236" s="48"/>
      <c r="P236" s="52"/>
      <c r="Q236" s="48">
        <f t="shared" si="19"/>
        <v>6506.5</v>
      </c>
      <c r="R236" s="56">
        <v>9</v>
      </c>
    </row>
    <row r="237" spans="1:18" ht="76.5">
      <c r="A237" s="53">
        <v>18</v>
      </c>
      <c r="B237" s="46" t="s">
        <v>250</v>
      </c>
      <c r="C237" s="345">
        <v>0.5</v>
      </c>
      <c r="D237" s="71">
        <v>5005</v>
      </c>
      <c r="E237" s="71"/>
      <c r="F237" s="108"/>
      <c r="G237" s="71"/>
      <c r="H237" s="109"/>
      <c r="I237" s="71"/>
      <c r="J237" s="71"/>
      <c r="K237" s="71">
        <f t="shared" si="17"/>
        <v>5005</v>
      </c>
      <c r="L237" s="71"/>
      <c r="M237" s="71"/>
      <c r="N237" s="71">
        <f t="shared" si="20"/>
        <v>1501.5</v>
      </c>
      <c r="O237" s="71"/>
      <c r="P237" s="72"/>
      <c r="Q237" s="169">
        <f t="shared" si="19"/>
        <v>3253.25</v>
      </c>
      <c r="R237" s="56">
        <v>9</v>
      </c>
    </row>
    <row r="238" spans="1:29" s="26" customFormat="1" ht="76.5">
      <c r="A238" s="53">
        <v>19</v>
      </c>
      <c r="B238" s="46" t="s">
        <v>279</v>
      </c>
      <c r="C238" s="345">
        <v>1</v>
      </c>
      <c r="D238" s="48">
        <v>5005</v>
      </c>
      <c r="E238" s="48"/>
      <c r="F238" s="48"/>
      <c r="G238" s="48"/>
      <c r="H238" s="129">
        <f>D238*0.25</f>
        <v>1251.25</v>
      </c>
      <c r="I238" s="129"/>
      <c r="J238" s="129"/>
      <c r="K238" s="71">
        <f t="shared" si="17"/>
        <v>6256.25</v>
      </c>
      <c r="L238" s="129"/>
      <c r="M238" s="129"/>
      <c r="N238" s="129">
        <f t="shared" si="20"/>
        <v>1876.875</v>
      </c>
      <c r="O238" s="48"/>
      <c r="P238" s="52"/>
      <c r="Q238" s="48">
        <f t="shared" si="19"/>
        <v>8133.125</v>
      </c>
      <c r="R238" s="56">
        <v>9</v>
      </c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18" ht="76.5">
      <c r="A239" s="53">
        <v>20</v>
      </c>
      <c r="B239" s="46" t="s">
        <v>243</v>
      </c>
      <c r="C239" s="345">
        <v>1</v>
      </c>
      <c r="D239" s="48">
        <v>4195</v>
      </c>
      <c r="E239" s="48"/>
      <c r="F239" s="48"/>
      <c r="G239" s="48"/>
      <c r="H239" s="129"/>
      <c r="I239" s="129"/>
      <c r="J239" s="129"/>
      <c r="K239" s="71">
        <f>SUM(D239:J239)</f>
        <v>4195</v>
      </c>
      <c r="L239" s="129"/>
      <c r="M239" s="129"/>
      <c r="N239" s="129">
        <f>K239*0.1</f>
        <v>419.5</v>
      </c>
      <c r="O239" s="48"/>
      <c r="P239" s="52"/>
      <c r="Q239" s="48">
        <f>SUM(K239:P239)*C239</f>
        <v>4614.5</v>
      </c>
      <c r="R239" s="56">
        <v>6</v>
      </c>
    </row>
    <row r="240" spans="1:18" ht="76.5">
      <c r="A240" s="53">
        <v>21</v>
      </c>
      <c r="B240" s="46" t="s">
        <v>318</v>
      </c>
      <c r="C240" s="345">
        <v>1</v>
      </c>
      <c r="D240" s="48">
        <v>4745</v>
      </c>
      <c r="E240" s="48"/>
      <c r="F240" s="48"/>
      <c r="G240" s="48"/>
      <c r="H240" s="129"/>
      <c r="I240" s="129"/>
      <c r="J240" s="129"/>
      <c r="K240" s="71">
        <f t="shared" si="17"/>
        <v>4745</v>
      </c>
      <c r="L240" s="129"/>
      <c r="M240" s="129"/>
      <c r="N240" s="129">
        <f t="shared" si="20"/>
        <v>1423.5</v>
      </c>
      <c r="O240" s="48"/>
      <c r="P240" s="52"/>
      <c r="Q240" s="48">
        <f t="shared" si="19"/>
        <v>6168.5</v>
      </c>
      <c r="R240" s="56">
        <v>8</v>
      </c>
    </row>
    <row r="241" spans="1:18" ht="76.5">
      <c r="A241" s="53">
        <v>22</v>
      </c>
      <c r="B241" s="46" t="s">
        <v>276</v>
      </c>
      <c r="C241" s="451">
        <v>0.5</v>
      </c>
      <c r="D241" s="48">
        <v>5005</v>
      </c>
      <c r="E241" s="48"/>
      <c r="F241" s="48"/>
      <c r="G241" s="48"/>
      <c r="H241" s="129"/>
      <c r="I241" s="129"/>
      <c r="J241" s="129"/>
      <c r="K241" s="71">
        <f t="shared" si="17"/>
        <v>5005</v>
      </c>
      <c r="L241" s="129"/>
      <c r="M241" s="129"/>
      <c r="N241" s="129">
        <f t="shared" si="20"/>
        <v>1501.5</v>
      </c>
      <c r="O241" s="48"/>
      <c r="P241" s="52"/>
      <c r="Q241" s="48">
        <f t="shared" si="19"/>
        <v>3253.25</v>
      </c>
      <c r="R241" s="56">
        <v>9</v>
      </c>
    </row>
    <row r="242" spans="1:18" ht="82.5" customHeight="1">
      <c r="A242" s="53">
        <v>23</v>
      </c>
      <c r="B242" s="46" t="s">
        <v>342</v>
      </c>
      <c r="C242" s="389">
        <v>0.5</v>
      </c>
      <c r="D242" s="48">
        <v>5005</v>
      </c>
      <c r="E242" s="48"/>
      <c r="F242" s="48"/>
      <c r="G242" s="48"/>
      <c r="H242" s="129"/>
      <c r="I242" s="129"/>
      <c r="J242" s="129"/>
      <c r="K242" s="71">
        <f t="shared" si="17"/>
        <v>5005</v>
      </c>
      <c r="L242" s="129"/>
      <c r="M242" s="129"/>
      <c r="N242" s="129">
        <f t="shared" si="20"/>
        <v>1501.5</v>
      </c>
      <c r="O242" s="48"/>
      <c r="P242" s="52"/>
      <c r="Q242" s="48">
        <f t="shared" si="19"/>
        <v>3253.25</v>
      </c>
      <c r="R242" s="56">
        <v>9</v>
      </c>
    </row>
    <row r="243" spans="1:18" ht="74.25" customHeight="1">
      <c r="A243" s="53">
        <v>24</v>
      </c>
      <c r="B243" s="46" t="s">
        <v>343</v>
      </c>
      <c r="C243" s="345">
        <v>0.5</v>
      </c>
      <c r="D243" s="48">
        <v>5005</v>
      </c>
      <c r="E243" s="48"/>
      <c r="F243" s="48"/>
      <c r="G243" s="48"/>
      <c r="H243" s="129"/>
      <c r="I243" s="129"/>
      <c r="J243" s="129"/>
      <c r="K243" s="71">
        <f t="shared" si="17"/>
        <v>5005</v>
      </c>
      <c r="L243" s="129"/>
      <c r="M243" s="129"/>
      <c r="N243" s="129">
        <f t="shared" si="20"/>
        <v>1501.5</v>
      </c>
      <c r="O243" s="48"/>
      <c r="P243" s="52"/>
      <c r="Q243" s="48">
        <f t="shared" si="19"/>
        <v>3253.25</v>
      </c>
      <c r="R243" s="56">
        <v>9</v>
      </c>
    </row>
    <row r="244" spans="1:18" ht="74.25" customHeight="1">
      <c r="A244" s="53">
        <v>25</v>
      </c>
      <c r="B244" s="46" t="s">
        <v>364</v>
      </c>
      <c r="C244" s="477">
        <v>0.5</v>
      </c>
      <c r="D244" s="48">
        <v>5005</v>
      </c>
      <c r="E244" s="48"/>
      <c r="F244" s="48"/>
      <c r="G244" s="48"/>
      <c r="H244" s="129"/>
      <c r="I244" s="129"/>
      <c r="J244" s="129"/>
      <c r="K244" s="71">
        <f t="shared" si="17"/>
        <v>5005</v>
      </c>
      <c r="L244" s="129"/>
      <c r="M244" s="129"/>
      <c r="N244" s="129">
        <f t="shared" si="20"/>
        <v>1501.5</v>
      </c>
      <c r="O244" s="48"/>
      <c r="P244" s="52"/>
      <c r="Q244" s="48">
        <f t="shared" si="19"/>
        <v>3253.25</v>
      </c>
      <c r="R244" s="56">
        <v>9</v>
      </c>
    </row>
    <row r="245" spans="1:18" ht="38.25">
      <c r="A245" s="577" t="s">
        <v>18</v>
      </c>
      <c r="B245" s="577"/>
      <c r="C245" s="360">
        <f>SUM(C219:C244)</f>
        <v>20.75</v>
      </c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52"/>
      <c r="Q245" s="437">
        <f>SUM(Q219:Q244)</f>
        <v>138485.73125</v>
      </c>
      <c r="R245" s="56"/>
    </row>
    <row r="246" spans="1:18" ht="52.5" customHeight="1">
      <c r="A246" s="284"/>
      <c r="B246" s="284"/>
      <c r="C246" s="354"/>
      <c r="D246" s="334"/>
      <c r="E246" s="414"/>
      <c r="F246" s="414"/>
      <c r="G246" s="414"/>
      <c r="H246" s="414"/>
      <c r="I246" s="414"/>
      <c r="J246" s="414"/>
      <c r="K246" s="414"/>
      <c r="L246" s="414"/>
      <c r="M246" s="414"/>
      <c r="N246" s="334"/>
      <c r="O246" s="334"/>
      <c r="P246" s="181"/>
      <c r="Q246" s="335"/>
      <c r="R246" s="184"/>
    </row>
    <row r="247" spans="1:18" ht="49.5" customHeight="1">
      <c r="A247" s="170"/>
      <c r="B247" s="65"/>
      <c r="C247" s="419"/>
      <c r="D247" s="65"/>
      <c r="E247" s="578" t="s">
        <v>100</v>
      </c>
      <c r="F247" s="578"/>
      <c r="G247" s="578"/>
      <c r="H247" s="578"/>
      <c r="I247" s="578"/>
      <c r="J247" s="578"/>
      <c r="K247" s="578"/>
      <c r="L247" s="578"/>
      <c r="M247" s="578"/>
      <c r="N247" s="65"/>
      <c r="O247" s="65"/>
      <c r="P247" s="65"/>
      <c r="Q247" s="65"/>
      <c r="R247" s="65"/>
    </row>
    <row r="248" spans="1:18" ht="36.75" customHeight="1">
      <c r="A248" s="66">
        <v>1</v>
      </c>
      <c r="B248" s="67">
        <v>2</v>
      </c>
      <c r="C248" s="349">
        <v>3</v>
      </c>
      <c r="D248" s="67">
        <v>4</v>
      </c>
      <c r="E248" s="67">
        <v>5</v>
      </c>
      <c r="F248" s="67">
        <v>6</v>
      </c>
      <c r="G248" s="67">
        <v>7</v>
      </c>
      <c r="H248" s="67">
        <v>8</v>
      </c>
      <c r="I248" s="67">
        <v>9</v>
      </c>
      <c r="J248" s="67">
        <v>10</v>
      </c>
      <c r="K248" s="67">
        <v>11</v>
      </c>
      <c r="L248" s="67">
        <v>12</v>
      </c>
      <c r="M248" s="67">
        <v>13</v>
      </c>
      <c r="N248" s="67">
        <v>14</v>
      </c>
      <c r="O248" s="67">
        <v>15</v>
      </c>
      <c r="P248" s="67">
        <v>16</v>
      </c>
      <c r="Q248" s="67">
        <v>17</v>
      </c>
      <c r="R248" s="67">
        <v>18</v>
      </c>
    </row>
    <row r="249" spans="1:18" ht="36" customHeight="1">
      <c r="A249" s="164">
        <v>1</v>
      </c>
      <c r="B249" s="46" t="s">
        <v>36</v>
      </c>
      <c r="C249" s="415">
        <v>1</v>
      </c>
      <c r="D249" s="48">
        <v>3674</v>
      </c>
      <c r="E249" s="48"/>
      <c r="F249" s="48"/>
      <c r="G249" s="48"/>
      <c r="H249" s="48"/>
      <c r="I249" s="48"/>
      <c r="J249" s="48"/>
      <c r="K249" s="71">
        <f>SUM(D249:J249)</f>
        <v>3674</v>
      </c>
      <c r="L249" s="48"/>
      <c r="M249" s="48"/>
      <c r="N249" s="48"/>
      <c r="O249" s="48"/>
      <c r="P249" s="48"/>
      <c r="Q249" s="48">
        <f>SUM(K249:P249)*C249</f>
        <v>3674</v>
      </c>
      <c r="R249" s="56">
        <v>4</v>
      </c>
    </row>
    <row r="250" spans="1:18" ht="75" customHeight="1">
      <c r="A250" s="164">
        <v>2</v>
      </c>
      <c r="B250" s="69" t="s">
        <v>37</v>
      </c>
      <c r="C250" s="338">
        <v>4</v>
      </c>
      <c r="D250" s="48">
        <v>3414</v>
      </c>
      <c r="E250" s="48"/>
      <c r="F250" s="71"/>
      <c r="G250" s="71"/>
      <c r="H250" s="71"/>
      <c r="I250" s="71"/>
      <c r="J250" s="71"/>
      <c r="K250" s="71">
        <f>SUM(D250:J250)</f>
        <v>3414</v>
      </c>
      <c r="L250" s="71"/>
      <c r="M250" s="71"/>
      <c r="N250" s="71"/>
      <c r="O250" s="48"/>
      <c r="P250" s="71">
        <f>K250*10%</f>
        <v>341.40000000000003</v>
      </c>
      <c r="Q250" s="48">
        <f>(K250+O250+P250)*C250</f>
        <v>15021.6</v>
      </c>
      <c r="R250" s="72">
        <v>3</v>
      </c>
    </row>
    <row r="251" spans="1:18" ht="38.25">
      <c r="A251" s="538" t="s">
        <v>18</v>
      </c>
      <c r="B251" s="540"/>
      <c r="C251" s="416">
        <f>C252+C253</f>
        <v>5</v>
      </c>
      <c r="D251" s="52"/>
      <c r="E251" s="100"/>
      <c r="F251" s="100"/>
      <c r="G251" s="100"/>
      <c r="H251" s="171"/>
      <c r="I251" s="171"/>
      <c r="J251" s="171"/>
      <c r="K251" s="171"/>
      <c r="L251" s="171"/>
      <c r="M251" s="171"/>
      <c r="N251" s="171"/>
      <c r="O251" s="171"/>
      <c r="P251" s="171"/>
      <c r="Q251" s="438">
        <f>SUM(Q249:Q250)</f>
        <v>18695.6</v>
      </c>
      <c r="R251" s="72"/>
    </row>
    <row r="252" spans="1:18" ht="42" customHeight="1">
      <c r="A252" s="172"/>
      <c r="B252" s="172" t="s">
        <v>51</v>
      </c>
      <c r="C252" s="425">
        <f>SUM(C250:C250)</f>
        <v>4</v>
      </c>
      <c r="D252" s="173"/>
      <c r="E252" s="173"/>
      <c r="F252" s="173"/>
      <c r="G252" s="173"/>
      <c r="H252" s="174"/>
      <c r="I252" s="174"/>
      <c r="J252" s="174"/>
      <c r="K252" s="174"/>
      <c r="L252" s="174"/>
      <c r="M252" s="174"/>
      <c r="N252" s="174"/>
      <c r="O252" s="174"/>
      <c r="P252" s="174"/>
      <c r="Q252" s="439">
        <f>SUM(Q250:Q250)</f>
        <v>15021.6</v>
      </c>
      <c r="R252" s="175"/>
    </row>
    <row r="253" spans="1:18" ht="41.25" customHeight="1">
      <c r="A253" s="176"/>
      <c r="B253" s="176" t="s">
        <v>63</v>
      </c>
      <c r="C253" s="426">
        <f>C249</f>
        <v>1</v>
      </c>
      <c r="D253" s="177"/>
      <c r="E253" s="177"/>
      <c r="F253" s="177"/>
      <c r="G253" s="177"/>
      <c r="H253" s="178"/>
      <c r="I253" s="178"/>
      <c r="J253" s="178"/>
      <c r="K253" s="178"/>
      <c r="L253" s="178"/>
      <c r="M253" s="178"/>
      <c r="N253" s="178"/>
      <c r="O253" s="178"/>
      <c r="P253" s="178"/>
      <c r="Q253" s="440">
        <f>Q249</f>
        <v>3674</v>
      </c>
      <c r="R253" s="179"/>
    </row>
    <row r="254" spans="1:18" ht="3" customHeight="1" hidden="1">
      <c r="A254" s="180"/>
      <c r="B254" s="180"/>
      <c r="C254" s="427"/>
      <c r="D254" s="181"/>
      <c r="E254" s="181"/>
      <c r="F254" s="181"/>
      <c r="G254" s="181"/>
      <c r="H254" s="182"/>
      <c r="I254" s="182"/>
      <c r="J254" s="182"/>
      <c r="K254" s="182"/>
      <c r="L254" s="182"/>
      <c r="M254" s="182"/>
      <c r="N254" s="182"/>
      <c r="O254" s="182"/>
      <c r="P254" s="182"/>
      <c r="Q254" s="183"/>
      <c r="R254" s="184"/>
    </row>
    <row r="255" spans="1:18" ht="66.75" customHeight="1">
      <c r="A255" s="180"/>
      <c r="B255" s="180"/>
      <c r="C255" s="427"/>
      <c r="D255" s="181"/>
      <c r="E255" s="535" t="s">
        <v>142</v>
      </c>
      <c r="F255" s="535"/>
      <c r="G255" s="535"/>
      <c r="H255" s="535"/>
      <c r="I255" s="535"/>
      <c r="J255" s="535"/>
      <c r="K255" s="535"/>
      <c r="L255" s="182"/>
      <c r="M255" s="182"/>
      <c r="N255" s="182"/>
      <c r="O255" s="182"/>
      <c r="P255" s="182"/>
      <c r="Q255" s="183"/>
      <c r="R255" s="184"/>
    </row>
    <row r="256" spans="1:18" ht="47.25" customHeight="1">
      <c r="A256" s="185">
        <v>1</v>
      </c>
      <c r="B256" s="186" t="s">
        <v>163</v>
      </c>
      <c r="C256" s="365">
        <v>1</v>
      </c>
      <c r="D256" s="187">
        <v>5265</v>
      </c>
      <c r="E256" s="188"/>
      <c r="F256" s="138"/>
      <c r="G256" s="188"/>
      <c r="H256" s="187">
        <f>D256*0.6</f>
        <v>3159</v>
      </c>
      <c r="I256" s="187"/>
      <c r="J256" s="187"/>
      <c r="K256" s="89">
        <f>SUM(D256:J256)</f>
        <v>8424</v>
      </c>
      <c r="L256" s="187">
        <f>K256*0.1</f>
        <v>842.4000000000001</v>
      </c>
      <c r="M256" s="187"/>
      <c r="N256" s="187">
        <f>K256*0.1</f>
        <v>842.4000000000001</v>
      </c>
      <c r="O256" s="187"/>
      <c r="P256" s="189"/>
      <c r="Q256" s="89">
        <f>SUM(K256:P256)*C256</f>
        <v>10108.8</v>
      </c>
      <c r="R256" s="190">
        <v>10</v>
      </c>
    </row>
    <row r="257" spans="1:18" ht="38.25">
      <c r="A257" s="185">
        <v>2</v>
      </c>
      <c r="B257" s="186" t="s">
        <v>251</v>
      </c>
      <c r="C257" s="364">
        <v>0.5</v>
      </c>
      <c r="D257" s="187">
        <v>5265</v>
      </c>
      <c r="E257" s="188"/>
      <c r="F257" s="138"/>
      <c r="G257" s="188"/>
      <c r="H257" s="187">
        <f>D257*0.6</f>
        <v>3159</v>
      </c>
      <c r="I257" s="187"/>
      <c r="J257" s="187"/>
      <c r="K257" s="85">
        <f>SUM(D257:J257)</f>
        <v>8424</v>
      </c>
      <c r="L257" s="187">
        <f>K257*0.1</f>
        <v>842.4000000000001</v>
      </c>
      <c r="M257" s="187"/>
      <c r="N257" s="187">
        <f>K257*0.1</f>
        <v>842.4000000000001</v>
      </c>
      <c r="O257" s="187"/>
      <c r="P257" s="189"/>
      <c r="Q257" s="89">
        <f>SUM(K257:P257)*C257</f>
        <v>5054.4</v>
      </c>
      <c r="R257" s="190">
        <v>10</v>
      </c>
    </row>
    <row r="258" spans="1:18" ht="93" customHeight="1">
      <c r="A258" s="185">
        <v>3</v>
      </c>
      <c r="B258" s="186" t="s">
        <v>283</v>
      </c>
      <c r="C258" s="366">
        <v>0.75</v>
      </c>
      <c r="D258" s="187">
        <v>5005</v>
      </c>
      <c r="E258" s="187"/>
      <c r="F258" s="138"/>
      <c r="G258" s="187"/>
      <c r="H258" s="187">
        <f>D258*0.6</f>
        <v>3003</v>
      </c>
      <c r="I258" s="187"/>
      <c r="J258" s="187"/>
      <c r="K258" s="85">
        <f>SUM(D258:J258)</f>
        <v>8008</v>
      </c>
      <c r="L258" s="187">
        <f>K258*0.1</f>
        <v>800.8000000000001</v>
      </c>
      <c r="M258" s="187"/>
      <c r="N258" s="187">
        <f>K258*0.3</f>
        <v>2402.4</v>
      </c>
      <c r="O258" s="187"/>
      <c r="P258" s="191"/>
      <c r="Q258" s="89">
        <f>SUM(K258:P258)*C258</f>
        <v>8408.4</v>
      </c>
      <c r="R258" s="190">
        <v>9</v>
      </c>
    </row>
    <row r="259" spans="1:18" ht="114.75">
      <c r="A259" s="185">
        <v>4</v>
      </c>
      <c r="B259" s="186" t="s">
        <v>187</v>
      </c>
      <c r="C259" s="366">
        <v>0.75</v>
      </c>
      <c r="D259" s="187">
        <v>5005</v>
      </c>
      <c r="E259" s="187"/>
      <c r="F259" s="138"/>
      <c r="G259" s="187"/>
      <c r="H259" s="187">
        <f>D259*0.6</f>
        <v>3003</v>
      </c>
      <c r="I259" s="187"/>
      <c r="J259" s="187"/>
      <c r="K259" s="85">
        <f>SUM(D259:J259)</f>
        <v>8008</v>
      </c>
      <c r="L259" s="187">
        <f>K259*0.1</f>
        <v>800.8000000000001</v>
      </c>
      <c r="M259" s="187"/>
      <c r="N259" s="187">
        <f>K259*0.3</f>
        <v>2402.4</v>
      </c>
      <c r="O259" s="187"/>
      <c r="P259" s="191"/>
      <c r="Q259" s="89">
        <f>SUM(K259:P259)*C259</f>
        <v>8408.4</v>
      </c>
      <c r="R259" s="190">
        <v>9</v>
      </c>
    </row>
    <row r="260" spans="1:18" ht="37.5" customHeight="1">
      <c r="A260" s="192"/>
      <c r="B260" s="192" t="s">
        <v>18</v>
      </c>
      <c r="C260" s="346">
        <f>SUM(C256:C259)</f>
        <v>3</v>
      </c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441">
        <f>SUM(Q256:Q259)</f>
        <v>31980</v>
      </c>
      <c r="R260" s="192"/>
    </row>
    <row r="261" spans="1:18" ht="42.75" customHeight="1">
      <c r="A261" s="118"/>
      <c r="B261" s="193" t="s">
        <v>54</v>
      </c>
      <c r="C261" s="341">
        <f>C256+C257</f>
        <v>1.5</v>
      </c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442">
        <f>Q256+Q257</f>
        <v>15163.199999999999</v>
      </c>
      <c r="R261" s="118"/>
    </row>
    <row r="262" spans="1:18" ht="33.75" customHeight="1">
      <c r="A262" s="118"/>
      <c r="B262" s="193" t="s">
        <v>319</v>
      </c>
      <c r="C262" s="348">
        <f>C258+C259</f>
        <v>1.5</v>
      </c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442">
        <f>Q258+Q259</f>
        <v>16816.8</v>
      </c>
      <c r="R262" s="118"/>
    </row>
    <row r="263" spans="1:18" ht="17.25" customHeight="1" hidden="1">
      <c r="A263" s="195"/>
      <c r="B263" s="196"/>
      <c r="C263" s="367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95"/>
    </row>
    <row r="264" spans="1:18" ht="27.75" customHeight="1" hidden="1">
      <c r="A264" s="534"/>
      <c r="B264" s="534"/>
      <c r="C264" s="534"/>
      <c r="D264" s="534"/>
      <c r="E264" s="534"/>
      <c r="F264" s="534"/>
      <c r="G264" s="534"/>
      <c r="H264" s="534"/>
      <c r="I264" s="534"/>
      <c r="J264" s="534"/>
      <c r="K264" s="534"/>
      <c r="L264" s="534"/>
      <c r="M264" s="534"/>
      <c r="N264" s="534"/>
      <c r="O264" s="534"/>
      <c r="P264" s="534"/>
      <c r="Q264" s="534"/>
      <c r="R264" s="534"/>
    </row>
    <row r="265" spans="1:18" ht="39" customHeight="1">
      <c r="A265" s="65"/>
      <c r="B265" s="199" t="s">
        <v>219</v>
      </c>
      <c r="C265" s="428"/>
      <c r="D265" s="200"/>
      <c r="E265" s="200"/>
      <c r="F265" s="200"/>
      <c r="G265" s="201">
        <f>G266+G268+G269+G270</f>
        <v>56.75</v>
      </c>
      <c r="H265" s="200"/>
      <c r="I265" s="200"/>
      <c r="J265" s="200"/>
      <c r="K265" s="200"/>
      <c r="L265" s="200"/>
      <c r="M265" s="202"/>
      <c r="N265" s="200"/>
      <c r="O265" s="200"/>
      <c r="P265" s="200"/>
      <c r="Q265" s="203">
        <f>Q266+Q268+Q269+Q270</f>
        <v>419484.10224999994</v>
      </c>
      <c r="R265" s="65"/>
    </row>
    <row r="266" spans="1:18" ht="38.25">
      <c r="A266" s="204" t="s">
        <v>220</v>
      </c>
      <c r="B266" s="110" t="s">
        <v>65</v>
      </c>
      <c r="C266" s="420"/>
      <c r="D266" s="111"/>
      <c r="E266" s="111"/>
      <c r="F266" s="111"/>
      <c r="G266" s="206">
        <f>C216+C261</f>
        <v>29.5</v>
      </c>
      <c r="H266" s="111"/>
      <c r="I266" s="111"/>
      <c r="J266" s="111"/>
      <c r="K266" s="111"/>
      <c r="L266" s="111"/>
      <c r="M266" s="111"/>
      <c r="N266" s="111"/>
      <c r="O266" s="207" t="s">
        <v>61</v>
      </c>
      <c r="P266" s="208"/>
      <c r="Q266" s="161">
        <f>Q216+Q261</f>
        <v>245485.97099999996</v>
      </c>
      <c r="R266" s="65"/>
    </row>
    <row r="267" spans="1:18" ht="38.25">
      <c r="A267" s="204"/>
      <c r="B267" s="209" t="s">
        <v>69</v>
      </c>
      <c r="C267" s="429"/>
      <c r="D267" s="61"/>
      <c r="E267" s="111"/>
      <c r="F267" s="111"/>
      <c r="G267" s="210"/>
      <c r="H267" s="111"/>
      <c r="I267" s="111"/>
      <c r="J267" s="111"/>
      <c r="K267" s="111"/>
      <c r="L267" s="111"/>
      <c r="M267" s="111"/>
      <c r="N267" s="111"/>
      <c r="O267" s="111" t="s">
        <v>93</v>
      </c>
      <c r="P267" s="102"/>
      <c r="Q267" s="211"/>
      <c r="R267" s="65"/>
    </row>
    <row r="268" spans="1:18" ht="38.25">
      <c r="A268" s="204"/>
      <c r="B268" s="579" t="s">
        <v>302</v>
      </c>
      <c r="C268" s="579"/>
      <c r="D268" s="579"/>
      <c r="E268" s="111"/>
      <c r="F268" s="102"/>
      <c r="G268" s="206">
        <f>C245+C262</f>
        <v>22.25</v>
      </c>
      <c r="H268" s="111"/>
      <c r="I268" s="111"/>
      <c r="J268" s="111"/>
      <c r="K268" s="111"/>
      <c r="L268" s="111"/>
      <c r="M268" s="111"/>
      <c r="N268" s="111"/>
      <c r="O268" s="111"/>
      <c r="P268" s="61"/>
      <c r="Q268" s="213">
        <f>Q245+Q262</f>
        <v>155302.53125</v>
      </c>
      <c r="R268" s="65"/>
    </row>
    <row r="269" spans="1:18" ht="27.75" customHeight="1">
      <c r="A269" s="65"/>
      <c r="B269" s="102" t="s">
        <v>51</v>
      </c>
      <c r="C269" s="420"/>
      <c r="D269" s="111"/>
      <c r="E269" s="111"/>
      <c r="F269" s="111"/>
      <c r="G269" s="212">
        <f>C252</f>
        <v>4</v>
      </c>
      <c r="H269" s="111"/>
      <c r="I269" s="111"/>
      <c r="J269" s="111"/>
      <c r="K269" s="111"/>
      <c r="L269" s="111"/>
      <c r="M269" s="111"/>
      <c r="N269" s="111"/>
      <c r="O269" s="111"/>
      <c r="P269" s="111"/>
      <c r="Q269" s="161">
        <f>Q252</f>
        <v>15021.6</v>
      </c>
      <c r="R269" s="65"/>
    </row>
    <row r="270" spans="1:18" ht="41.25" customHeight="1">
      <c r="A270" s="65"/>
      <c r="B270" s="102" t="s">
        <v>63</v>
      </c>
      <c r="C270" s="420"/>
      <c r="D270" s="111"/>
      <c r="E270" s="111"/>
      <c r="F270" s="102" t="s">
        <v>38</v>
      </c>
      <c r="G270" s="206">
        <f>C253</f>
        <v>1</v>
      </c>
      <c r="H270" s="111"/>
      <c r="I270" s="111"/>
      <c r="J270" s="111"/>
      <c r="K270" s="111"/>
      <c r="L270" s="111"/>
      <c r="M270" s="111"/>
      <c r="N270" s="111"/>
      <c r="O270" s="111"/>
      <c r="P270" s="111"/>
      <c r="Q270" s="161">
        <f>Q253</f>
        <v>3674</v>
      </c>
      <c r="R270" s="65"/>
    </row>
    <row r="271" spans="1:18" ht="6" customHeight="1">
      <c r="A271" s="96"/>
      <c r="B271" s="65"/>
      <c r="C271" s="419"/>
      <c r="D271" s="65"/>
      <c r="E271" s="65"/>
      <c r="F271" s="65"/>
      <c r="G271" s="214"/>
      <c r="H271" s="65"/>
      <c r="I271" s="65"/>
      <c r="J271" s="65"/>
      <c r="K271" s="65"/>
      <c r="L271" s="65"/>
      <c r="M271" s="65"/>
      <c r="N271" s="65"/>
      <c r="O271" s="65"/>
      <c r="P271" s="215"/>
      <c r="Q271" s="65"/>
      <c r="R271" s="65"/>
    </row>
    <row r="272" spans="1:18" ht="9" customHeight="1" hidden="1">
      <c r="A272" s="65"/>
      <c r="B272" s="65"/>
      <c r="C272" s="419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spans="1:18" ht="37.5">
      <c r="A273" s="533" t="s">
        <v>39</v>
      </c>
      <c r="B273" s="533"/>
      <c r="C273" s="533"/>
      <c r="D273" s="533"/>
      <c r="E273" s="533"/>
      <c r="F273" s="533"/>
      <c r="G273" s="533"/>
      <c r="H273" s="533"/>
      <c r="I273" s="533"/>
      <c r="J273" s="533"/>
      <c r="K273" s="533"/>
      <c r="L273" s="533"/>
      <c r="M273" s="533"/>
      <c r="N273" s="533"/>
      <c r="O273" s="533"/>
      <c r="P273" s="533"/>
      <c r="Q273" s="533"/>
      <c r="R273" s="533"/>
    </row>
    <row r="274" spans="1:18" ht="54" customHeight="1">
      <c r="A274" s="509" t="s">
        <v>224</v>
      </c>
      <c r="B274" s="509"/>
      <c r="C274" s="509"/>
      <c r="D274" s="509"/>
      <c r="E274" s="509"/>
      <c r="F274" s="509"/>
      <c r="G274" s="509"/>
      <c r="H274" s="509"/>
      <c r="I274" s="509"/>
      <c r="J274" s="509"/>
      <c r="K274" s="509"/>
      <c r="L274" s="509"/>
      <c r="M274" s="509"/>
      <c r="N274" s="509"/>
      <c r="O274" s="509"/>
      <c r="P274" s="509"/>
      <c r="Q274" s="509"/>
      <c r="R274" s="509"/>
    </row>
    <row r="275" spans="1:18" ht="70.5">
      <c r="A275" s="53">
        <v>1</v>
      </c>
      <c r="B275" s="405" t="s">
        <v>357</v>
      </c>
      <c r="C275" s="357">
        <v>1</v>
      </c>
      <c r="D275" s="125">
        <v>5699</v>
      </c>
      <c r="E275" s="106">
        <f>D275*0.2</f>
        <v>1139.8</v>
      </c>
      <c r="F275" s="125"/>
      <c r="G275" s="125"/>
      <c r="H275" s="125"/>
      <c r="I275" s="125"/>
      <c r="J275" s="125"/>
      <c r="K275" s="71">
        <f aca="true" t="shared" si="21" ref="K275:K286">SUM(D275:J275)</f>
        <v>6838.8</v>
      </c>
      <c r="L275" s="125"/>
      <c r="M275" s="125"/>
      <c r="N275" s="125">
        <f>K275*0.2</f>
        <v>1367.7600000000002</v>
      </c>
      <c r="O275" s="125"/>
      <c r="P275" s="218"/>
      <c r="Q275" s="48">
        <f aca="true" t="shared" si="22" ref="Q275:Q286">SUM(K275:P275)*C275</f>
        <v>8206.560000000001</v>
      </c>
      <c r="R275" s="81">
        <v>11</v>
      </c>
    </row>
    <row r="276" spans="1:18" ht="54.75" customHeight="1">
      <c r="A276" s="164">
        <v>2</v>
      </c>
      <c r="B276" s="403" t="s">
        <v>285</v>
      </c>
      <c r="C276" s="338">
        <v>3</v>
      </c>
      <c r="D276" s="125">
        <v>6567</v>
      </c>
      <c r="E276" s="109"/>
      <c r="F276" s="71"/>
      <c r="G276" s="71"/>
      <c r="H276" s="71"/>
      <c r="I276" s="71"/>
      <c r="J276" s="71"/>
      <c r="K276" s="71">
        <f t="shared" si="21"/>
        <v>6567</v>
      </c>
      <c r="L276" s="71"/>
      <c r="M276" s="71"/>
      <c r="N276" s="125">
        <f>K276*0.3</f>
        <v>1970.1</v>
      </c>
      <c r="O276" s="71"/>
      <c r="P276" s="100"/>
      <c r="Q276" s="48">
        <f t="shared" si="22"/>
        <v>25611.300000000003</v>
      </c>
      <c r="R276" s="72">
        <v>13</v>
      </c>
    </row>
    <row r="277" spans="1:18" ht="48" customHeight="1">
      <c r="A277" s="164">
        <v>3</v>
      </c>
      <c r="B277" s="403" t="s">
        <v>337</v>
      </c>
      <c r="C277" s="338">
        <v>0.5</v>
      </c>
      <c r="D277" s="71">
        <v>5265</v>
      </c>
      <c r="E277" s="109"/>
      <c r="F277" s="71"/>
      <c r="G277" s="71"/>
      <c r="H277" s="71"/>
      <c r="I277" s="71"/>
      <c r="J277" s="71"/>
      <c r="K277" s="71">
        <f t="shared" si="21"/>
        <v>5265</v>
      </c>
      <c r="L277" s="71"/>
      <c r="M277" s="71"/>
      <c r="N277" s="125">
        <f>K277*0.2</f>
        <v>1053</v>
      </c>
      <c r="O277" s="71"/>
      <c r="P277" s="100"/>
      <c r="Q277" s="48">
        <f t="shared" si="22"/>
        <v>3159</v>
      </c>
      <c r="R277" s="72">
        <v>10</v>
      </c>
    </row>
    <row r="278" spans="1:18" ht="73.5" customHeight="1">
      <c r="A278" s="164">
        <v>4</v>
      </c>
      <c r="B278" s="403" t="s">
        <v>41</v>
      </c>
      <c r="C278" s="338">
        <v>0.5</v>
      </c>
      <c r="D278" s="71">
        <v>5005</v>
      </c>
      <c r="E278" s="109">
        <f>D278*0.1</f>
        <v>500.5</v>
      </c>
      <c r="F278" s="71"/>
      <c r="G278" s="71"/>
      <c r="H278" s="71"/>
      <c r="I278" s="71"/>
      <c r="J278" s="71"/>
      <c r="K278" s="71">
        <f t="shared" si="21"/>
        <v>5505.5</v>
      </c>
      <c r="L278" s="71"/>
      <c r="M278" s="71"/>
      <c r="N278" s="125">
        <f>K278*0.3</f>
        <v>1651.6499999999999</v>
      </c>
      <c r="O278" s="71"/>
      <c r="P278" s="100"/>
      <c r="Q278" s="48">
        <f t="shared" si="22"/>
        <v>3578.575</v>
      </c>
      <c r="R278" s="72">
        <v>9</v>
      </c>
    </row>
    <row r="279" spans="1:18" ht="60.75" customHeight="1">
      <c r="A279" s="164">
        <v>5</v>
      </c>
      <c r="B279" s="403" t="s">
        <v>358</v>
      </c>
      <c r="C279" s="338">
        <v>0.5</v>
      </c>
      <c r="D279" s="71">
        <v>5005</v>
      </c>
      <c r="E279" s="71"/>
      <c r="F279" s="71"/>
      <c r="G279" s="71"/>
      <c r="H279" s="71"/>
      <c r="I279" s="71"/>
      <c r="J279" s="71"/>
      <c r="K279" s="71">
        <f t="shared" si="21"/>
        <v>5005</v>
      </c>
      <c r="L279" s="71"/>
      <c r="M279" s="71"/>
      <c r="N279" s="125">
        <f>K279*0.3</f>
        <v>1501.5</v>
      </c>
      <c r="O279" s="71"/>
      <c r="P279" s="100"/>
      <c r="Q279" s="48">
        <f t="shared" si="22"/>
        <v>3253.25</v>
      </c>
      <c r="R279" s="72">
        <v>9</v>
      </c>
    </row>
    <row r="280" spans="1:18" ht="62.25" customHeight="1">
      <c r="A280" s="164">
        <v>6</v>
      </c>
      <c r="B280" s="403" t="s">
        <v>116</v>
      </c>
      <c r="C280" s="338">
        <v>3.5</v>
      </c>
      <c r="D280" s="71">
        <v>5005</v>
      </c>
      <c r="E280" s="71"/>
      <c r="F280" s="71"/>
      <c r="G280" s="71"/>
      <c r="H280" s="71"/>
      <c r="I280" s="71"/>
      <c r="J280" s="71"/>
      <c r="K280" s="71">
        <f t="shared" si="21"/>
        <v>5005</v>
      </c>
      <c r="L280" s="71"/>
      <c r="M280" s="71"/>
      <c r="N280" s="125">
        <f>K280*0.3</f>
        <v>1501.5</v>
      </c>
      <c r="O280" s="71"/>
      <c r="P280" s="100"/>
      <c r="Q280" s="48">
        <f t="shared" si="22"/>
        <v>22772.75</v>
      </c>
      <c r="R280" s="72">
        <v>9</v>
      </c>
    </row>
    <row r="281" spans="1:18" ht="74.25" customHeight="1">
      <c r="A281" s="164">
        <v>7</v>
      </c>
      <c r="B281" s="403" t="s">
        <v>197</v>
      </c>
      <c r="C281" s="338">
        <v>1</v>
      </c>
      <c r="D281" s="71">
        <v>4745</v>
      </c>
      <c r="E281" s="71"/>
      <c r="F281" s="71"/>
      <c r="G281" s="71"/>
      <c r="H281" s="71"/>
      <c r="I281" s="71"/>
      <c r="J281" s="71"/>
      <c r="K281" s="71">
        <f t="shared" si="21"/>
        <v>4745</v>
      </c>
      <c r="L281" s="71"/>
      <c r="M281" s="71"/>
      <c r="N281" s="71">
        <f>K281*0.2</f>
        <v>949</v>
      </c>
      <c r="O281" s="71"/>
      <c r="P281" s="100"/>
      <c r="Q281" s="48">
        <f t="shared" si="22"/>
        <v>5694</v>
      </c>
      <c r="R281" s="72">
        <v>8</v>
      </c>
    </row>
    <row r="282" spans="1:18" ht="70.5" hidden="1">
      <c r="A282" s="164">
        <v>9</v>
      </c>
      <c r="B282" s="403" t="s">
        <v>198</v>
      </c>
      <c r="C282" s="338"/>
      <c r="D282" s="71">
        <v>2555</v>
      </c>
      <c r="E282" s="71"/>
      <c r="F282" s="71"/>
      <c r="G282" s="71"/>
      <c r="H282" s="71"/>
      <c r="I282" s="71"/>
      <c r="J282" s="71"/>
      <c r="K282" s="71">
        <f t="shared" si="21"/>
        <v>2555</v>
      </c>
      <c r="L282" s="71"/>
      <c r="M282" s="71"/>
      <c r="N282" s="71">
        <f>K282*0.2</f>
        <v>511</v>
      </c>
      <c r="O282" s="71"/>
      <c r="P282" s="100"/>
      <c r="Q282" s="48">
        <f t="shared" si="22"/>
        <v>0</v>
      </c>
      <c r="R282" s="72">
        <v>6</v>
      </c>
    </row>
    <row r="283" spans="1:18" ht="34.5" customHeight="1">
      <c r="A283" s="164">
        <v>8.9</v>
      </c>
      <c r="B283" s="403" t="s">
        <v>42</v>
      </c>
      <c r="C283" s="338">
        <v>0.5</v>
      </c>
      <c r="D283" s="71">
        <v>3674</v>
      </c>
      <c r="E283" s="71"/>
      <c r="F283" s="71"/>
      <c r="G283" s="71"/>
      <c r="H283" s="71"/>
      <c r="I283" s="71"/>
      <c r="J283" s="71"/>
      <c r="K283" s="71">
        <f t="shared" si="21"/>
        <v>3674</v>
      </c>
      <c r="L283" s="71"/>
      <c r="M283" s="71"/>
      <c r="N283" s="71"/>
      <c r="O283" s="71"/>
      <c r="P283" s="100"/>
      <c r="Q283" s="48">
        <f t="shared" si="22"/>
        <v>1837</v>
      </c>
      <c r="R283" s="72">
        <v>4</v>
      </c>
    </row>
    <row r="284" spans="1:18" ht="64.5" customHeight="1">
      <c r="A284" s="164">
        <v>10</v>
      </c>
      <c r="B284" s="403" t="s">
        <v>111</v>
      </c>
      <c r="C284" s="338">
        <v>4.5</v>
      </c>
      <c r="D284" s="71">
        <v>3674</v>
      </c>
      <c r="E284" s="71"/>
      <c r="F284" s="71"/>
      <c r="G284" s="71"/>
      <c r="H284" s="71"/>
      <c r="I284" s="71"/>
      <c r="J284" s="71"/>
      <c r="K284" s="71">
        <f t="shared" si="21"/>
        <v>3674</v>
      </c>
      <c r="L284" s="71"/>
      <c r="M284" s="71"/>
      <c r="N284" s="71"/>
      <c r="O284" s="71"/>
      <c r="P284" s="100">
        <f>K284*10%</f>
        <v>367.40000000000003</v>
      </c>
      <c r="Q284" s="48">
        <f t="shared" si="22"/>
        <v>18186.3</v>
      </c>
      <c r="R284" s="72">
        <v>4</v>
      </c>
    </row>
    <row r="285" spans="1:18" ht="58.5" customHeight="1">
      <c r="A285" s="164">
        <v>11</v>
      </c>
      <c r="B285" s="403" t="s">
        <v>96</v>
      </c>
      <c r="C285" s="338">
        <v>0.5</v>
      </c>
      <c r="D285" s="71">
        <v>3414</v>
      </c>
      <c r="E285" s="71"/>
      <c r="F285" s="71"/>
      <c r="G285" s="71"/>
      <c r="H285" s="71"/>
      <c r="I285" s="71"/>
      <c r="J285" s="71"/>
      <c r="K285" s="71">
        <f t="shared" si="21"/>
        <v>3414</v>
      </c>
      <c r="L285" s="71"/>
      <c r="M285" s="71"/>
      <c r="N285" s="71"/>
      <c r="O285" s="71"/>
      <c r="P285" s="100"/>
      <c r="Q285" s="48">
        <f t="shared" si="22"/>
        <v>1707</v>
      </c>
      <c r="R285" s="72">
        <v>3</v>
      </c>
    </row>
    <row r="286" spans="1:18" ht="38.25">
      <c r="A286" s="164">
        <v>12</v>
      </c>
      <c r="B286" s="405" t="s">
        <v>109</v>
      </c>
      <c r="C286" s="430">
        <v>0.5</v>
      </c>
      <c r="D286" s="125">
        <v>5265</v>
      </c>
      <c r="E286" s="125"/>
      <c r="F286" s="125"/>
      <c r="G286" s="125"/>
      <c r="H286" s="125"/>
      <c r="I286" s="125"/>
      <c r="J286" s="125"/>
      <c r="K286" s="71">
        <f t="shared" si="21"/>
        <v>5265</v>
      </c>
      <c r="L286" s="125"/>
      <c r="M286" s="125"/>
      <c r="N286" s="71">
        <f>K286*0.3</f>
        <v>1579.5</v>
      </c>
      <c r="O286" s="125"/>
      <c r="P286" s="218"/>
      <c r="Q286" s="48">
        <f t="shared" si="22"/>
        <v>3422.25</v>
      </c>
      <c r="R286" s="81">
        <v>10</v>
      </c>
    </row>
    <row r="287" spans="1:18" ht="38.25">
      <c r="A287" s="507" t="s">
        <v>18</v>
      </c>
      <c r="B287" s="508"/>
      <c r="C287" s="340">
        <f>SUM(C275:C286)</f>
        <v>16</v>
      </c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98">
        <f>Q275+Q276+Q278+Q279+Q280+Q281+Q282+Q284+Q283+Q285+Q286+Q277</f>
        <v>97427.985</v>
      </c>
      <c r="R287" s="72"/>
    </row>
    <row r="288" spans="1:18" ht="42" customHeight="1">
      <c r="A288" s="111"/>
      <c r="B288" s="102" t="s">
        <v>65</v>
      </c>
      <c r="C288" s="369">
        <f>SUM(C275:C276)+C277</f>
        <v>4.5</v>
      </c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5"/>
      <c r="Q288" s="443">
        <f>SUM(Q275:Q276)+Q277</f>
        <v>36976.86</v>
      </c>
      <c r="R288" s="223"/>
    </row>
    <row r="289" spans="1:18" ht="31.5" customHeight="1">
      <c r="A289" s="111"/>
      <c r="B289" s="102" t="s">
        <v>43</v>
      </c>
      <c r="C289" s="369">
        <f>C278+C279+C280+C281+C282</f>
        <v>5.5</v>
      </c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6"/>
      <c r="Q289" s="443">
        <f>Q278+Q279+Q280+Q281+Q282</f>
        <v>35298.575</v>
      </c>
      <c r="R289" s="223"/>
    </row>
    <row r="290" spans="1:18" ht="37.5" customHeight="1">
      <c r="A290" s="65"/>
      <c r="B290" s="209" t="s">
        <v>51</v>
      </c>
      <c r="C290" s="369">
        <f>SUM(C284:C285)</f>
        <v>5</v>
      </c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 t="s">
        <v>44</v>
      </c>
      <c r="O290" s="224"/>
      <c r="P290" s="226"/>
      <c r="Q290" s="443">
        <f>SUM(Q284:Q285)</f>
        <v>19893.3</v>
      </c>
      <c r="R290" s="223"/>
    </row>
    <row r="291" spans="1:18" ht="35.25" customHeight="1">
      <c r="A291" s="102"/>
      <c r="B291" s="110" t="s">
        <v>63</v>
      </c>
      <c r="C291" s="431">
        <f>C286+C283</f>
        <v>1</v>
      </c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6"/>
      <c r="Q291" s="443">
        <f>Q286+Q283</f>
        <v>5259.25</v>
      </c>
      <c r="R291" s="223"/>
    </row>
    <row r="292" spans="1:18" ht="30" customHeight="1">
      <c r="A292" s="65"/>
      <c r="B292" s="227"/>
      <c r="C292" s="419"/>
      <c r="D292" s="509" t="s">
        <v>284</v>
      </c>
      <c r="E292" s="509"/>
      <c r="F292" s="509"/>
      <c r="G292" s="509"/>
      <c r="H292" s="509"/>
      <c r="I292" s="509"/>
      <c r="J292" s="509"/>
      <c r="K292" s="509"/>
      <c r="L292" s="509"/>
      <c r="M292" s="509"/>
      <c r="N292" s="509"/>
      <c r="O292" s="65"/>
      <c r="P292" s="65"/>
      <c r="Q292" s="65"/>
      <c r="R292" s="65"/>
    </row>
    <row r="293" spans="1:18" ht="37.5">
      <c r="A293" s="130">
        <v>1</v>
      </c>
      <c r="B293" s="67">
        <v>2</v>
      </c>
      <c r="C293" s="349">
        <v>3</v>
      </c>
      <c r="D293" s="67">
        <v>4</v>
      </c>
      <c r="E293" s="67">
        <v>5</v>
      </c>
      <c r="F293" s="67">
        <v>6</v>
      </c>
      <c r="G293" s="67">
        <v>7</v>
      </c>
      <c r="H293" s="67">
        <v>8</v>
      </c>
      <c r="I293" s="67">
        <v>9</v>
      </c>
      <c r="J293" s="67">
        <v>10</v>
      </c>
      <c r="K293" s="67">
        <v>11</v>
      </c>
      <c r="L293" s="67">
        <v>12</v>
      </c>
      <c r="M293" s="67">
        <v>13</v>
      </c>
      <c r="N293" s="67">
        <v>14</v>
      </c>
      <c r="O293" s="67">
        <v>15</v>
      </c>
      <c r="P293" s="67">
        <v>16</v>
      </c>
      <c r="Q293" s="67">
        <v>17</v>
      </c>
      <c r="R293" s="67">
        <v>18</v>
      </c>
    </row>
    <row r="294" spans="1:18" ht="81.75" customHeight="1">
      <c r="A294" s="113">
        <v>1</v>
      </c>
      <c r="B294" s="403" t="s">
        <v>286</v>
      </c>
      <c r="C294" s="338">
        <v>1</v>
      </c>
      <c r="D294" s="169">
        <v>5699</v>
      </c>
      <c r="E294" s="71">
        <f>D294*0.1</f>
        <v>569.9</v>
      </c>
      <c r="F294" s="71"/>
      <c r="G294" s="71"/>
      <c r="H294" s="70">
        <f>(D294+E294)*0.15</f>
        <v>940.3349999999999</v>
      </c>
      <c r="I294" s="71"/>
      <c r="J294" s="71"/>
      <c r="K294" s="71">
        <f aca="true" t="shared" si="23" ref="K294:K301">SUM(D294:J294)</f>
        <v>7209.235</v>
      </c>
      <c r="L294" s="71"/>
      <c r="M294" s="71"/>
      <c r="N294" s="70">
        <f>K294*0.3</f>
        <v>2162.7704999999996</v>
      </c>
      <c r="O294" s="71"/>
      <c r="P294" s="71"/>
      <c r="Q294" s="48">
        <f aca="true" t="shared" si="24" ref="Q294:Q301">SUM(K294:P294)*C294</f>
        <v>9372.0055</v>
      </c>
      <c r="R294" s="72">
        <v>11</v>
      </c>
    </row>
    <row r="295" spans="1:18" ht="70.5">
      <c r="A295" s="113">
        <v>2</v>
      </c>
      <c r="B295" s="403" t="s">
        <v>164</v>
      </c>
      <c r="C295" s="338">
        <v>0.5</v>
      </c>
      <c r="D295" s="71">
        <v>5005</v>
      </c>
      <c r="E295" s="71">
        <f>D295*0.1</f>
        <v>500.5</v>
      </c>
      <c r="F295" s="71"/>
      <c r="G295" s="71"/>
      <c r="H295" s="70">
        <f>(D295+E295)*0.15</f>
        <v>825.8249999999999</v>
      </c>
      <c r="I295" s="71"/>
      <c r="J295" s="71"/>
      <c r="K295" s="71">
        <f t="shared" si="23"/>
        <v>6331.325</v>
      </c>
      <c r="L295" s="71"/>
      <c r="M295" s="71"/>
      <c r="N295" s="70">
        <f>K295*0.3</f>
        <v>1899.3974999999998</v>
      </c>
      <c r="O295" s="71"/>
      <c r="P295" s="71"/>
      <c r="Q295" s="48">
        <f t="shared" si="24"/>
        <v>4115.36125</v>
      </c>
      <c r="R295" s="72">
        <v>9</v>
      </c>
    </row>
    <row r="296" spans="1:18" ht="66.75" customHeight="1">
      <c r="A296" s="113">
        <v>3</v>
      </c>
      <c r="B296" s="403" t="s">
        <v>252</v>
      </c>
      <c r="C296" s="338">
        <v>0.5</v>
      </c>
      <c r="D296" s="71">
        <v>5005</v>
      </c>
      <c r="E296" s="71"/>
      <c r="F296" s="71"/>
      <c r="G296" s="71"/>
      <c r="H296" s="70">
        <f aca="true" t="shared" si="25" ref="H296:H302">D296*0.15</f>
        <v>750.75</v>
      </c>
      <c r="I296" s="71"/>
      <c r="J296" s="71"/>
      <c r="K296" s="71">
        <f t="shared" si="23"/>
        <v>5755.75</v>
      </c>
      <c r="L296" s="71"/>
      <c r="M296" s="71"/>
      <c r="N296" s="70">
        <f>K296*0.3</f>
        <v>1726.725</v>
      </c>
      <c r="O296" s="71"/>
      <c r="P296" s="71"/>
      <c r="Q296" s="48">
        <f t="shared" si="24"/>
        <v>3741.2375</v>
      </c>
      <c r="R296" s="72">
        <v>9</v>
      </c>
    </row>
    <row r="297" spans="1:18" ht="70.5">
      <c r="A297" s="113">
        <v>4</v>
      </c>
      <c r="B297" s="403" t="s">
        <v>112</v>
      </c>
      <c r="C297" s="338">
        <v>3</v>
      </c>
      <c r="D297" s="71">
        <v>5005</v>
      </c>
      <c r="E297" s="71"/>
      <c r="F297" s="71"/>
      <c r="G297" s="71"/>
      <c r="H297" s="70">
        <f t="shared" si="25"/>
        <v>750.75</v>
      </c>
      <c r="I297" s="71"/>
      <c r="J297" s="71"/>
      <c r="K297" s="71">
        <f t="shared" si="23"/>
        <v>5755.75</v>
      </c>
      <c r="L297" s="71"/>
      <c r="M297" s="71"/>
      <c r="N297" s="70">
        <f>K297*0.3</f>
        <v>1726.725</v>
      </c>
      <c r="O297" s="71"/>
      <c r="P297" s="71"/>
      <c r="Q297" s="48">
        <f t="shared" si="24"/>
        <v>22447.425000000003</v>
      </c>
      <c r="R297" s="72">
        <v>9</v>
      </c>
    </row>
    <row r="298" spans="1:18" ht="70.5">
      <c r="A298" s="113">
        <v>5</v>
      </c>
      <c r="B298" s="403" t="s">
        <v>244</v>
      </c>
      <c r="C298" s="338">
        <v>1</v>
      </c>
      <c r="D298" s="71">
        <v>4745</v>
      </c>
      <c r="E298" s="71"/>
      <c r="F298" s="71"/>
      <c r="G298" s="71"/>
      <c r="H298" s="70">
        <f t="shared" si="25"/>
        <v>711.75</v>
      </c>
      <c r="I298" s="71"/>
      <c r="J298" s="71"/>
      <c r="K298" s="71">
        <f t="shared" si="23"/>
        <v>5456.75</v>
      </c>
      <c r="L298" s="71"/>
      <c r="M298" s="71"/>
      <c r="N298" s="70">
        <f>K298*0.2</f>
        <v>1091.3500000000001</v>
      </c>
      <c r="O298" s="71"/>
      <c r="P298" s="71"/>
      <c r="Q298" s="48">
        <f t="shared" si="24"/>
        <v>6548.1</v>
      </c>
      <c r="R298" s="72">
        <v>8</v>
      </c>
    </row>
    <row r="299" spans="1:18" ht="70.5">
      <c r="A299" s="113">
        <v>6</v>
      </c>
      <c r="B299" s="403" t="s">
        <v>245</v>
      </c>
      <c r="C299" s="338">
        <v>1</v>
      </c>
      <c r="D299" s="71">
        <v>4195</v>
      </c>
      <c r="E299" s="71"/>
      <c r="F299" s="71"/>
      <c r="G299" s="71"/>
      <c r="H299" s="70">
        <f t="shared" si="25"/>
        <v>629.25</v>
      </c>
      <c r="I299" s="71"/>
      <c r="J299" s="71"/>
      <c r="K299" s="71">
        <f t="shared" si="23"/>
        <v>4824.25</v>
      </c>
      <c r="L299" s="71"/>
      <c r="M299" s="71"/>
      <c r="N299" s="70">
        <f>K299*0.1</f>
        <v>482.425</v>
      </c>
      <c r="O299" s="71"/>
      <c r="P299" s="71"/>
      <c r="Q299" s="48">
        <f t="shared" si="24"/>
        <v>5306.675</v>
      </c>
      <c r="R299" s="72">
        <v>6</v>
      </c>
    </row>
    <row r="300" spans="1:18" ht="70.5">
      <c r="A300" s="113">
        <v>7</v>
      </c>
      <c r="B300" s="403" t="s">
        <v>120</v>
      </c>
      <c r="C300" s="338">
        <v>5</v>
      </c>
      <c r="D300" s="71">
        <v>3674</v>
      </c>
      <c r="E300" s="71"/>
      <c r="F300" s="71"/>
      <c r="G300" s="71"/>
      <c r="H300" s="70">
        <f t="shared" si="25"/>
        <v>551.1</v>
      </c>
      <c r="I300" s="71"/>
      <c r="J300" s="71"/>
      <c r="K300" s="71">
        <f t="shared" si="23"/>
        <v>4225.1</v>
      </c>
      <c r="L300" s="71"/>
      <c r="M300" s="71"/>
      <c r="N300" s="71"/>
      <c r="O300" s="71"/>
      <c r="P300" s="71">
        <f>D300*10%</f>
        <v>367.40000000000003</v>
      </c>
      <c r="Q300" s="48">
        <f t="shared" si="24"/>
        <v>22962.5</v>
      </c>
      <c r="R300" s="72">
        <v>4</v>
      </c>
    </row>
    <row r="301" spans="1:18" ht="38.25">
      <c r="A301" s="113">
        <v>8</v>
      </c>
      <c r="B301" s="406" t="s">
        <v>122</v>
      </c>
      <c r="C301" s="338">
        <v>0.5</v>
      </c>
      <c r="D301" s="71">
        <v>3674</v>
      </c>
      <c r="E301" s="71"/>
      <c r="F301" s="71"/>
      <c r="G301" s="71"/>
      <c r="H301" s="70">
        <f t="shared" si="25"/>
        <v>551.1</v>
      </c>
      <c r="I301" s="71"/>
      <c r="J301" s="71"/>
      <c r="K301" s="71">
        <f t="shared" si="23"/>
        <v>4225.1</v>
      </c>
      <c r="L301" s="71"/>
      <c r="M301" s="71"/>
      <c r="N301" s="71"/>
      <c r="O301" s="71"/>
      <c r="P301" s="71"/>
      <c r="Q301" s="48">
        <f t="shared" si="24"/>
        <v>2112.55</v>
      </c>
      <c r="R301" s="72">
        <v>4</v>
      </c>
    </row>
    <row r="302" spans="1:18" ht="70.5">
      <c r="A302" s="113">
        <v>9</v>
      </c>
      <c r="B302" s="403" t="s">
        <v>121</v>
      </c>
      <c r="C302" s="338">
        <v>0.5</v>
      </c>
      <c r="D302" s="71">
        <v>3414</v>
      </c>
      <c r="E302" s="71"/>
      <c r="F302" s="71"/>
      <c r="G302" s="71"/>
      <c r="H302" s="70">
        <f t="shared" si="25"/>
        <v>512.1</v>
      </c>
      <c r="I302" s="71"/>
      <c r="J302" s="71"/>
      <c r="K302" s="71">
        <f>SUM(D302:J302)</f>
        <v>3926.1</v>
      </c>
      <c r="L302" s="71"/>
      <c r="M302" s="71"/>
      <c r="N302" s="71"/>
      <c r="O302" s="71"/>
      <c r="P302" s="71"/>
      <c r="Q302" s="48">
        <f>SUM(K302:P302)*C302</f>
        <v>1963.05</v>
      </c>
      <c r="R302" s="72">
        <v>3</v>
      </c>
    </row>
    <row r="303" spans="1:18" ht="50.25" customHeight="1">
      <c r="A303" s="507" t="s">
        <v>18</v>
      </c>
      <c r="B303" s="508"/>
      <c r="C303" s="358">
        <f>C294+C295+C299+C298+C296+C297+C300+C301+C302</f>
        <v>13</v>
      </c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444">
        <f>Q294+Q295+Q296+Q297+Q300+Q301+Q302+Q298+Q299</f>
        <v>78568.90425000002</v>
      </c>
      <c r="R303" s="72"/>
    </row>
    <row r="304" spans="1:18" ht="63.75" customHeight="1">
      <c r="A304" s="110" t="s">
        <v>208</v>
      </c>
      <c r="B304" s="230"/>
      <c r="C304" s="369">
        <f>C294</f>
        <v>1</v>
      </c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2"/>
      <c r="P304" s="231"/>
      <c r="Q304" s="443">
        <f>Q294</f>
        <v>9372.0055</v>
      </c>
      <c r="R304" s="65"/>
    </row>
    <row r="305" spans="1:18" ht="37.5" customHeight="1">
      <c r="A305" s="110" t="s">
        <v>64</v>
      </c>
      <c r="B305" s="230"/>
      <c r="C305" s="369">
        <f>SUM(C295:C297)+C298+C299</f>
        <v>6</v>
      </c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33"/>
      <c r="P305" s="226"/>
      <c r="Q305" s="443">
        <f>SUM(Q295:Q297)+Q298+Q299</f>
        <v>42158.79875000001</v>
      </c>
      <c r="R305" s="65"/>
    </row>
    <row r="306" spans="1:18" ht="54" customHeight="1">
      <c r="A306" s="583" t="s">
        <v>207</v>
      </c>
      <c r="B306" s="583"/>
      <c r="C306" s="370">
        <f>C300+C302</f>
        <v>5.5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5"/>
      <c r="P306" s="226"/>
      <c r="Q306" s="283">
        <f>Q300+Q302</f>
        <v>24925.55</v>
      </c>
      <c r="R306" s="65"/>
    </row>
    <row r="307" spans="1:18" ht="43.5" customHeight="1">
      <c r="A307" s="583" t="s">
        <v>55</v>
      </c>
      <c r="B307" s="583"/>
      <c r="C307" s="370">
        <f>C301</f>
        <v>0.5</v>
      </c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283">
        <f>Q301</f>
        <v>2112.55</v>
      </c>
      <c r="R307" s="65"/>
    </row>
    <row r="308" spans="1:18" ht="120.75" customHeight="1">
      <c r="A308" s="110"/>
      <c r="B308" s="110"/>
      <c r="C308" s="37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234"/>
      <c r="R308" s="65"/>
    </row>
    <row r="309" spans="1:18" ht="28.5" customHeight="1">
      <c r="A309" s="545" t="s">
        <v>225</v>
      </c>
      <c r="B309" s="545"/>
      <c r="C309" s="545"/>
      <c r="D309" s="545"/>
      <c r="E309" s="545"/>
      <c r="F309" s="545"/>
      <c r="G309" s="545"/>
      <c r="H309" s="545"/>
      <c r="I309" s="545"/>
      <c r="J309" s="545"/>
      <c r="K309" s="545"/>
      <c r="L309" s="545"/>
      <c r="M309" s="545"/>
      <c r="N309" s="545"/>
      <c r="O309" s="545"/>
      <c r="P309" s="545"/>
      <c r="Q309" s="545"/>
      <c r="R309" s="545"/>
    </row>
    <row r="310" spans="1:18" ht="12.75" customHeight="1">
      <c r="A310" s="96"/>
      <c r="B310" s="65"/>
      <c r="C310" s="419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</row>
    <row r="311" spans="1:18" ht="66.75" customHeight="1">
      <c r="A311" s="66">
        <v>1</v>
      </c>
      <c r="B311" s="67">
        <v>2</v>
      </c>
      <c r="C311" s="349">
        <v>3</v>
      </c>
      <c r="D311" s="67">
        <v>4</v>
      </c>
      <c r="E311" s="67">
        <v>5</v>
      </c>
      <c r="F311" s="67">
        <v>6</v>
      </c>
      <c r="G311" s="67">
        <v>7</v>
      </c>
      <c r="H311" s="67">
        <v>8</v>
      </c>
      <c r="I311" s="67">
        <v>9</v>
      </c>
      <c r="J311" s="67">
        <v>10</v>
      </c>
      <c r="K311" s="67">
        <v>11</v>
      </c>
      <c r="L311" s="67">
        <v>12</v>
      </c>
      <c r="M311" s="67">
        <v>13</v>
      </c>
      <c r="N311" s="67">
        <v>14</v>
      </c>
      <c r="O311" s="67">
        <v>15</v>
      </c>
      <c r="P311" s="67">
        <v>16</v>
      </c>
      <c r="Q311" s="67">
        <v>17</v>
      </c>
      <c r="R311" s="67">
        <v>18</v>
      </c>
    </row>
    <row r="312" spans="1:18" ht="95.25" customHeight="1">
      <c r="A312" s="113">
        <v>1</v>
      </c>
      <c r="B312" s="69" t="s">
        <v>233</v>
      </c>
      <c r="C312" s="338">
        <v>1</v>
      </c>
      <c r="D312" s="71">
        <v>6567</v>
      </c>
      <c r="E312" s="71">
        <f>D312*0.1</f>
        <v>656.7</v>
      </c>
      <c r="F312" s="71"/>
      <c r="G312" s="71"/>
      <c r="H312" s="71"/>
      <c r="I312" s="71"/>
      <c r="J312" s="71"/>
      <c r="K312" s="71">
        <f aca="true" t="shared" si="26" ref="K312:K319">SUM(D312:J312)</f>
        <v>7223.7</v>
      </c>
      <c r="L312" s="71"/>
      <c r="M312" s="71"/>
      <c r="N312" s="109">
        <f>K312*0.3</f>
        <v>2167.1099999999997</v>
      </c>
      <c r="O312" s="71"/>
      <c r="P312" s="71"/>
      <c r="Q312" s="52">
        <f aca="true" t="shared" si="27" ref="Q312:Q319">SUM(K312:P312)*C312</f>
        <v>9390.81</v>
      </c>
      <c r="R312" s="72">
        <v>13</v>
      </c>
    </row>
    <row r="313" spans="1:18" ht="76.5">
      <c r="A313" s="113">
        <v>2</v>
      </c>
      <c r="B313" s="69" t="s">
        <v>164</v>
      </c>
      <c r="C313" s="371">
        <v>0.5</v>
      </c>
      <c r="D313" s="71">
        <v>5005</v>
      </c>
      <c r="E313" s="71">
        <f>D313*0.1</f>
        <v>500.5</v>
      </c>
      <c r="F313" s="71"/>
      <c r="G313" s="71"/>
      <c r="H313" s="71"/>
      <c r="I313" s="71"/>
      <c r="J313" s="71"/>
      <c r="K313" s="71">
        <f t="shared" si="26"/>
        <v>5505.5</v>
      </c>
      <c r="L313" s="71"/>
      <c r="M313" s="71"/>
      <c r="N313" s="109">
        <f>K313*0.3</f>
        <v>1651.6499999999999</v>
      </c>
      <c r="O313" s="71"/>
      <c r="P313" s="71"/>
      <c r="Q313" s="52">
        <f t="shared" si="27"/>
        <v>3578.575</v>
      </c>
      <c r="R313" s="72">
        <v>9</v>
      </c>
    </row>
    <row r="314" spans="1:18" ht="76.5">
      <c r="A314" s="113">
        <v>3</v>
      </c>
      <c r="B314" s="46" t="s">
        <v>253</v>
      </c>
      <c r="C314" s="372">
        <v>0.5</v>
      </c>
      <c r="D314" s="71">
        <v>5005</v>
      </c>
      <c r="E314" s="48"/>
      <c r="F314" s="48"/>
      <c r="G314" s="48"/>
      <c r="H314" s="48"/>
      <c r="I314" s="48"/>
      <c r="J314" s="48"/>
      <c r="K314" s="71">
        <f t="shared" si="26"/>
        <v>5005</v>
      </c>
      <c r="L314" s="48"/>
      <c r="M314" s="48"/>
      <c r="N314" s="109">
        <f>K314*0.3</f>
        <v>1501.5</v>
      </c>
      <c r="O314" s="48"/>
      <c r="P314" s="48"/>
      <c r="Q314" s="52">
        <f t="shared" si="27"/>
        <v>3253.25</v>
      </c>
      <c r="R314" s="56">
        <v>9</v>
      </c>
    </row>
    <row r="315" spans="1:18" ht="76.5">
      <c r="A315" s="113">
        <v>4</v>
      </c>
      <c r="B315" s="46" t="s">
        <v>125</v>
      </c>
      <c r="C315" s="372">
        <v>3.5</v>
      </c>
      <c r="D315" s="71">
        <v>5005</v>
      </c>
      <c r="E315" s="48"/>
      <c r="F315" s="48"/>
      <c r="G315" s="48"/>
      <c r="H315" s="48"/>
      <c r="I315" s="48"/>
      <c r="J315" s="48"/>
      <c r="K315" s="71">
        <f t="shared" si="26"/>
        <v>5005</v>
      </c>
      <c r="L315" s="48"/>
      <c r="M315" s="48"/>
      <c r="N315" s="48">
        <f>K315*0.3</f>
        <v>1501.5</v>
      </c>
      <c r="O315" s="48"/>
      <c r="P315" s="48"/>
      <c r="Q315" s="52">
        <f t="shared" si="27"/>
        <v>22772.75</v>
      </c>
      <c r="R315" s="56">
        <v>9</v>
      </c>
    </row>
    <row r="316" spans="1:18" ht="76.5">
      <c r="A316" s="113">
        <v>5</v>
      </c>
      <c r="B316" s="46" t="s">
        <v>320</v>
      </c>
      <c r="C316" s="450">
        <v>1</v>
      </c>
      <c r="D316" s="71">
        <v>4195</v>
      </c>
      <c r="E316" s="71"/>
      <c r="F316" s="71"/>
      <c r="G316" s="71"/>
      <c r="H316" s="71"/>
      <c r="I316" s="71"/>
      <c r="J316" s="71"/>
      <c r="K316" s="71">
        <f t="shared" si="26"/>
        <v>4195</v>
      </c>
      <c r="L316" s="71"/>
      <c r="M316" s="71"/>
      <c r="N316" s="71">
        <f>K316*0.2</f>
        <v>839</v>
      </c>
      <c r="O316" s="71"/>
      <c r="P316" s="71"/>
      <c r="Q316" s="52">
        <f t="shared" si="27"/>
        <v>5034</v>
      </c>
      <c r="R316" s="72">
        <v>6</v>
      </c>
    </row>
    <row r="317" spans="1:18" ht="76.5">
      <c r="A317" s="113">
        <v>6</v>
      </c>
      <c r="B317" s="69" t="s">
        <v>113</v>
      </c>
      <c r="C317" s="338">
        <v>4.5</v>
      </c>
      <c r="D317" s="71">
        <v>3674</v>
      </c>
      <c r="E317" s="71"/>
      <c r="F317" s="71"/>
      <c r="G317" s="71"/>
      <c r="H317" s="71"/>
      <c r="I317" s="71"/>
      <c r="J317" s="71"/>
      <c r="K317" s="71">
        <f t="shared" si="26"/>
        <v>3674</v>
      </c>
      <c r="L317" s="71"/>
      <c r="M317" s="71"/>
      <c r="N317" s="71"/>
      <c r="O317" s="71"/>
      <c r="P317" s="71">
        <f>K317*10%</f>
        <v>367.40000000000003</v>
      </c>
      <c r="Q317" s="52">
        <f t="shared" si="27"/>
        <v>18186.3</v>
      </c>
      <c r="R317" s="72">
        <v>4</v>
      </c>
    </row>
    <row r="318" spans="1:18" ht="59.25" customHeight="1">
      <c r="A318" s="113">
        <v>7</v>
      </c>
      <c r="B318" s="82" t="s">
        <v>40</v>
      </c>
      <c r="C318" s="371">
        <v>0.5</v>
      </c>
      <c r="D318" s="71">
        <v>3674</v>
      </c>
      <c r="E318" s="71"/>
      <c r="F318" s="71"/>
      <c r="G318" s="71"/>
      <c r="H318" s="71"/>
      <c r="I318" s="71"/>
      <c r="J318" s="71"/>
      <c r="K318" s="71">
        <f>SUM(D318:J318)</f>
        <v>3674</v>
      </c>
      <c r="L318" s="71"/>
      <c r="M318" s="71"/>
      <c r="N318" s="71"/>
      <c r="O318" s="71"/>
      <c r="P318" s="71"/>
      <c r="Q318" s="52">
        <f>SUM(K318:P318)*C318</f>
        <v>1837</v>
      </c>
      <c r="R318" s="72">
        <v>4</v>
      </c>
    </row>
    <row r="319" spans="1:18" ht="75" customHeight="1">
      <c r="A319" s="113">
        <v>8</v>
      </c>
      <c r="B319" s="69" t="s">
        <v>95</v>
      </c>
      <c r="C319" s="371">
        <v>0.5</v>
      </c>
      <c r="D319" s="71">
        <v>3414</v>
      </c>
      <c r="E319" s="71"/>
      <c r="F319" s="71"/>
      <c r="G319" s="71"/>
      <c r="H319" s="71"/>
      <c r="I319" s="71"/>
      <c r="J319" s="71"/>
      <c r="K319" s="71">
        <f t="shared" si="26"/>
        <v>3414</v>
      </c>
      <c r="L319" s="71"/>
      <c r="M319" s="71"/>
      <c r="N319" s="71"/>
      <c r="O319" s="71"/>
      <c r="P319" s="71"/>
      <c r="Q319" s="52">
        <f t="shared" si="27"/>
        <v>1707</v>
      </c>
      <c r="R319" s="72">
        <v>3</v>
      </c>
    </row>
    <row r="320" spans="1:18" ht="55.5" customHeight="1">
      <c r="A320" s="507" t="s">
        <v>18</v>
      </c>
      <c r="B320" s="508"/>
      <c r="C320" s="358">
        <f>C312+C313+C314+C315+C316+C317+C318+C319</f>
        <v>12</v>
      </c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98">
        <f>Q312+Q313+Q314+Q315+Q317+Q318+Q319+Q316</f>
        <v>65759.685</v>
      </c>
      <c r="R320" s="72"/>
    </row>
    <row r="321" spans="1:18" ht="45" customHeight="1">
      <c r="A321" s="436" t="s">
        <v>65</v>
      </c>
      <c r="B321" s="436"/>
      <c r="C321" s="369">
        <f>SUM(C312:C312)</f>
        <v>1</v>
      </c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443">
        <f>SUM(Q312:Q312)</f>
        <v>9390.81</v>
      </c>
      <c r="R321" s="223"/>
    </row>
    <row r="322" spans="1:18" ht="45" customHeight="1">
      <c r="A322" s="110" t="s">
        <v>300</v>
      </c>
      <c r="B322" s="233"/>
      <c r="C322" s="369">
        <f>C313+C314+C315+C316</f>
        <v>5.5</v>
      </c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6"/>
      <c r="P322" s="235"/>
      <c r="Q322" s="443">
        <f>Q313+Q314+Q315+Q316</f>
        <v>34638.575</v>
      </c>
      <c r="R322" s="223"/>
    </row>
    <row r="323" spans="1:18" ht="45" customHeight="1">
      <c r="A323" s="110" t="s">
        <v>301</v>
      </c>
      <c r="B323" s="233"/>
      <c r="C323" s="369">
        <f>C317+C319</f>
        <v>5</v>
      </c>
      <c r="D323" s="235"/>
      <c r="E323" s="235"/>
      <c r="F323" s="235"/>
      <c r="G323" s="235"/>
      <c r="H323" s="235"/>
      <c r="I323" s="235"/>
      <c r="J323" s="235"/>
      <c r="K323" s="235"/>
      <c r="L323" s="235"/>
      <c r="M323" s="235"/>
      <c r="N323" s="237"/>
      <c r="O323" s="235"/>
      <c r="P323" s="235"/>
      <c r="Q323" s="443">
        <f>Q317+Q319</f>
        <v>19893.3</v>
      </c>
      <c r="R323" s="223"/>
    </row>
    <row r="324" spans="1:18" ht="45" customHeight="1">
      <c r="A324" s="233" t="s">
        <v>63</v>
      </c>
      <c r="B324" s="233"/>
      <c r="C324" s="369">
        <f>C318</f>
        <v>0.5</v>
      </c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7"/>
      <c r="O324" s="235"/>
      <c r="P324" s="235"/>
      <c r="Q324" s="443">
        <f>Q318</f>
        <v>1837</v>
      </c>
      <c r="R324" s="223"/>
    </row>
    <row r="325" spans="1:18" ht="41.25" customHeight="1">
      <c r="A325" s="526" t="s">
        <v>147</v>
      </c>
      <c r="B325" s="526"/>
      <c r="C325" s="526"/>
      <c r="D325" s="526"/>
      <c r="E325" s="526"/>
      <c r="F325" s="526"/>
      <c r="G325" s="526"/>
      <c r="H325" s="526"/>
      <c r="I325" s="526"/>
      <c r="J325" s="526"/>
      <c r="K325" s="526"/>
      <c r="L325" s="526"/>
      <c r="M325" s="526"/>
      <c r="N325" s="526"/>
      <c r="O325" s="526"/>
      <c r="P325" s="526"/>
      <c r="Q325" s="526"/>
      <c r="R325" s="526"/>
    </row>
    <row r="326" spans="1:18" ht="15" customHeight="1">
      <c r="A326" s="238"/>
      <c r="B326" s="214"/>
      <c r="C326" s="419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</row>
    <row r="327" spans="1:18" ht="51" customHeight="1">
      <c r="A327" s="582" t="s">
        <v>45</v>
      </c>
      <c r="B327" s="582"/>
      <c r="C327" s="582"/>
      <c r="D327" s="582"/>
      <c r="E327" s="582"/>
      <c r="F327" s="582"/>
      <c r="G327" s="582"/>
      <c r="H327" s="582"/>
      <c r="I327" s="582"/>
      <c r="J327" s="582"/>
      <c r="K327" s="582"/>
      <c r="L327" s="582"/>
      <c r="M327" s="582"/>
      <c r="N327" s="582"/>
      <c r="O327" s="582"/>
      <c r="P327" s="582"/>
      <c r="Q327" s="582"/>
      <c r="R327" s="582"/>
    </row>
    <row r="328" spans="1:18" ht="37.5">
      <c r="A328" s="239">
        <v>1</v>
      </c>
      <c r="B328" s="240">
        <v>2</v>
      </c>
      <c r="C328" s="349">
        <v>3</v>
      </c>
      <c r="D328" s="240">
        <v>4</v>
      </c>
      <c r="E328" s="240">
        <v>5</v>
      </c>
      <c r="F328" s="240">
        <v>6</v>
      </c>
      <c r="G328" s="240">
        <v>7</v>
      </c>
      <c r="H328" s="240">
        <v>8</v>
      </c>
      <c r="I328" s="240">
        <v>9</v>
      </c>
      <c r="J328" s="240">
        <v>10</v>
      </c>
      <c r="K328" s="240">
        <v>11</v>
      </c>
      <c r="L328" s="240">
        <v>12</v>
      </c>
      <c r="M328" s="240">
        <v>13</v>
      </c>
      <c r="N328" s="240">
        <v>14</v>
      </c>
      <c r="O328" s="240">
        <v>15</v>
      </c>
      <c r="P328" s="240">
        <v>16</v>
      </c>
      <c r="Q328" s="240">
        <v>17</v>
      </c>
      <c r="R328" s="240">
        <v>18</v>
      </c>
    </row>
    <row r="329" spans="1:18" ht="79.5" customHeight="1" hidden="1">
      <c r="A329" s="152">
        <v>2</v>
      </c>
      <c r="B329" s="241" t="s">
        <v>209</v>
      </c>
      <c r="C329" s="351"/>
      <c r="D329" s="242">
        <v>3207</v>
      </c>
      <c r="E329" s="242"/>
      <c r="F329" s="242"/>
      <c r="G329" s="242"/>
      <c r="H329" s="242"/>
      <c r="I329" s="242"/>
      <c r="J329" s="242"/>
      <c r="K329" s="85">
        <f>D329</f>
        <v>3207</v>
      </c>
      <c r="L329" s="242"/>
      <c r="M329" s="242"/>
      <c r="N329" s="242">
        <f>K329*0.2</f>
        <v>641.4000000000001</v>
      </c>
      <c r="O329" s="242"/>
      <c r="P329" s="242"/>
      <c r="Q329" s="244">
        <f aca="true" t="shared" si="28" ref="Q329:Q337">SUM(K329:P329)*C329</f>
        <v>0</v>
      </c>
      <c r="R329" s="243">
        <v>10</v>
      </c>
    </row>
    <row r="330" spans="1:18" ht="36.75" customHeight="1">
      <c r="A330" s="152">
        <v>1</v>
      </c>
      <c r="B330" s="407" t="s">
        <v>336</v>
      </c>
      <c r="C330" s="351">
        <v>0.5</v>
      </c>
      <c r="D330" s="242">
        <v>5265</v>
      </c>
      <c r="E330" s="242"/>
      <c r="F330" s="242"/>
      <c r="G330" s="242"/>
      <c r="H330" s="242"/>
      <c r="I330" s="242"/>
      <c r="J330" s="242"/>
      <c r="K330" s="85">
        <f aca="true" t="shared" si="29" ref="K330:K337">SUM(D330:J330)</f>
        <v>5265</v>
      </c>
      <c r="L330" s="242"/>
      <c r="M330" s="242"/>
      <c r="N330" s="242">
        <f>K330*0.1</f>
        <v>526.5</v>
      </c>
      <c r="O330" s="242"/>
      <c r="P330" s="242"/>
      <c r="Q330" s="245">
        <f t="shared" si="28"/>
        <v>2895.75</v>
      </c>
      <c r="R330" s="243">
        <v>10</v>
      </c>
    </row>
    <row r="331" spans="1:18" ht="67.5" customHeight="1">
      <c r="A331" s="185">
        <v>2</v>
      </c>
      <c r="B331" s="407" t="s">
        <v>166</v>
      </c>
      <c r="C331" s="351">
        <v>1</v>
      </c>
      <c r="D331" s="85">
        <v>5005</v>
      </c>
      <c r="E331" s="85"/>
      <c r="F331" s="99"/>
      <c r="G331" s="85"/>
      <c r="H331" s="242">
        <f>D331*0.15</f>
        <v>750.75</v>
      </c>
      <c r="I331" s="85"/>
      <c r="J331" s="85"/>
      <c r="K331" s="85">
        <f t="shared" si="29"/>
        <v>5755.75</v>
      </c>
      <c r="L331" s="85"/>
      <c r="M331" s="85"/>
      <c r="N331" s="242">
        <f>K331*0.3</f>
        <v>1726.725</v>
      </c>
      <c r="O331" s="85"/>
      <c r="P331" s="85"/>
      <c r="Q331" s="245">
        <f t="shared" si="28"/>
        <v>7482.475</v>
      </c>
      <c r="R331" s="90">
        <v>9</v>
      </c>
    </row>
    <row r="332" spans="1:18" ht="70.5">
      <c r="A332" s="185">
        <v>3</v>
      </c>
      <c r="B332" s="407" t="s">
        <v>135</v>
      </c>
      <c r="C332" s="352">
        <v>1</v>
      </c>
      <c r="D332" s="85">
        <v>4745</v>
      </c>
      <c r="E332" s="85"/>
      <c r="F332" s="246"/>
      <c r="G332" s="85"/>
      <c r="H332" s="242">
        <f>D332*0.15</f>
        <v>711.75</v>
      </c>
      <c r="I332" s="85"/>
      <c r="J332" s="85"/>
      <c r="K332" s="85">
        <f t="shared" si="29"/>
        <v>5456.75</v>
      </c>
      <c r="L332" s="85"/>
      <c r="M332" s="85"/>
      <c r="N332" s="242">
        <f>K332*0.3</f>
        <v>1637.0249999999999</v>
      </c>
      <c r="O332" s="85"/>
      <c r="P332" s="85"/>
      <c r="Q332" s="245">
        <f t="shared" si="28"/>
        <v>7093.775</v>
      </c>
      <c r="R332" s="90">
        <v>8</v>
      </c>
    </row>
    <row r="333" spans="1:18" ht="70.5">
      <c r="A333" s="185">
        <v>4</v>
      </c>
      <c r="B333" s="407" t="s">
        <v>246</v>
      </c>
      <c r="C333" s="352">
        <v>1</v>
      </c>
      <c r="D333" s="85">
        <v>4195</v>
      </c>
      <c r="E333" s="85"/>
      <c r="F333" s="246"/>
      <c r="G333" s="85"/>
      <c r="H333" s="242">
        <f>D333*0.15</f>
        <v>629.25</v>
      </c>
      <c r="I333" s="85"/>
      <c r="J333" s="85"/>
      <c r="K333" s="85">
        <f t="shared" si="29"/>
        <v>4824.25</v>
      </c>
      <c r="L333" s="85"/>
      <c r="M333" s="85"/>
      <c r="N333" s="242">
        <f>K333*0.1</f>
        <v>482.425</v>
      </c>
      <c r="O333" s="85"/>
      <c r="P333" s="85"/>
      <c r="Q333" s="245">
        <f>SUM(K333+N333)*C333</f>
        <v>5306.675</v>
      </c>
      <c r="R333" s="90">
        <v>6</v>
      </c>
    </row>
    <row r="334" spans="1:18" ht="79.5" customHeight="1">
      <c r="A334" s="185">
        <v>5</v>
      </c>
      <c r="B334" s="407" t="s">
        <v>200</v>
      </c>
      <c r="C334" s="363">
        <v>1</v>
      </c>
      <c r="D334" s="247">
        <v>4195</v>
      </c>
      <c r="E334" s="247"/>
      <c r="F334" s="247"/>
      <c r="G334" s="247"/>
      <c r="H334" s="247"/>
      <c r="I334" s="247"/>
      <c r="J334" s="247"/>
      <c r="K334" s="85">
        <f t="shared" si="29"/>
        <v>4195</v>
      </c>
      <c r="L334" s="247"/>
      <c r="M334" s="247"/>
      <c r="N334" s="242">
        <f>K334*0.3</f>
        <v>1258.5</v>
      </c>
      <c r="O334" s="247"/>
      <c r="P334" s="247"/>
      <c r="Q334" s="89">
        <f t="shared" si="28"/>
        <v>5453.5</v>
      </c>
      <c r="R334" s="248">
        <v>6</v>
      </c>
    </row>
    <row r="335" spans="1:18" ht="48.75" customHeight="1">
      <c r="A335" s="185">
        <v>6</v>
      </c>
      <c r="B335" s="408" t="s">
        <v>199</v>
      </c>
      <c r="C335" s="373">
        <v>0.75</v>
      </c>
      <c r="D335" s="247">
        <v>4195</v>
      </c>
      <c r="E335" s="247"/>
      <c r="F335" s="247"/>
      <c r="G335" s="247"/>
      <c r="H335" s="247"/>
      <c r="I335" s="247"/>
      <c r="J335" s="247"/>
      <c r="K335" s="85">
        <f t="shared" si="29"/>
        <v>4195</v>
      </c>
      <c r="L335" s="247"/>
      <c r="M335" s="247"/>
      <c r="N335" s="242">
        <f>K335*0.1</f>
        <v>419.5</v>
      </c>
      <c r="O335" s="247"/>
      <c r="P335" s="247"/>
      <c r="Q335" s="89">
        <f t="shared" si="28"/>
        <v>3460.875</v>
      </c>
      <c r="R335" s="248">
        <v>6</v>
      </c>
    </row>
    <row r="336" spans="1:18" ht="43.5" customHeight="1">
      <c r="A336" s="185">
        <v>7</v>
      </c>
      <c r="B336" s="408" t="s">
        <v>287</v>
      </c>
      <c r="C336" s="373">
        <v>0.25</v>
      </c>
      <c r="D336" s="247">
        <v>5005</v>
      </c>
      <c r="E336" s="247"/>
      <c r="F336" s="247"/>
      <c r="G336" s="247"/>
      <c r="H336" s="247"/>
      <c r="I336" s="247"/>
      <c r="J336" s="247"/>
      <c r="K336" s="85">
        <f t="shared" si="29"/>
        <v>5005</v>
      </c>
      <c r="L336" s="247"/>
      <c r="M336" s="247"/>
      <c r="N336" s="242">
        <f>K336*0.3</f>
        <v>1501.5</v>
      </c>
      <c r="O336" s="247"/>
      <c r="P336" s="247"/>
      <c r="Q336" s="89">
        <f t="shared" si="28"/>
        <v>1626.625</v>
      </c>
      <c r="R336" s="248">
        <v>9</v>
      </c>
    </row>
    <row r="337" spans="1:18" ht="72" customHeight="1">
      <c r="A337" s="185">
        <v>8</v>
      </c>
      <c r="B337" s="409" t="s">
        <v>321</v>
      </c>
      <c r="C337" s="364">
        <v>1</v>
      </c>
      <c r="D337" s="187">
        <v>3414</v>
      </c>
      <c r="E337" s="187"/>
      <c r="F337" s="187"/>
      <c r="G337" s="187"/>
      <c r="H337" s="187">
        <f>D337*0.15</f>
        <v>512.1</v>
      </c>
      <c r="I337" s="187"/>
      <c r="J337" s="187"/>
      <c r="K337" s="85">
        <f t="shared" si="29"/>
        <v>3926.1</v>
      </c>
      <c r="L337" s="187"/>
      <c r="M337" s="187"/>
      <c r="N337" s="187"/>
      <c r="O337" s="187"/>
      <c r="P337" s="187">
        <f>D337*10%</f>
        <v>341.40000000000003</v>
      </c>
      <c r="Q337" s="89">
        <f t="shared" si="28"/>
        <v>4267.5</v>
      </c>
      <c r="R337" s="190">
        <v>3</v>
      </c>
    </row>
    <row r="338" spans="1:18" ht="34.5" customHeight="1" thickBot="1">
      <c r="A338" s="580" t="s">
        <v>18</v>
      </c>
      <c r="B338" s="581"/>
      <c r="C338" s="374">
        <f>SUM(C329:C337)</f>
        <v>6.5</v>
      </c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50">
        <f>SUM(Q329:Q337)</f>
        <v>37587.175</v>
      </c>
      <c r="R338" s="251"/>
    </row>
    <row r="339" spans="1:18" ht="41.25" customHeight="1">
      <c r="A339" s="184"/>
      <c r="B339" s="221" t="s">
        <v>65</v>
      </c>
      <c r="C339" s="375">
        <f>C330</f>
        <v>0.5</v>
      </c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445">
        <f>Q330</f>
        <v>2895.75</v>
      </c>
      <c r="R339" s="184"/>
    </row>
    <row r="340" spans="1:18" ht="48.75" customHeight="1">
      <c r="A340" s="184"/>
      <c r="B340" s="221" t="s">
        <v>66</v>
      </c>
      <c r="C340" s="375">
        <f>SUM(C331+C334+C335+C332+C336)+C333</f>
        <v>5</v>
      </c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445">
        <f>SUM(Q331+Q334+Q335+Q332+Q336)+Q333</f>
        <v>30423.925</v>
      </c>
      <c r="R340" s="184"/>
    </row>
    <row r="341" spans="1:18" ht="33" customHeight="1">
      <c r="A341" s="184"/>
      <c r="B341" s="221" t="s">
        <v>51</v>
      </c>
      <c r="C341" s="375">
        <f>C337</f>
        <v>1</v>
      </c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446">
        <f>Q337</f>
        <v>4267.5</v>
      </c>
      <c r="R341" s="184"/>
    </row>
    <row r="342" spans="1:18" ht="138.75" customHeight="1">
      <c r="A342" s="545" t="s">
        <v>47</v>
      </c>
      <c r="B342" s="545"/>
      <c r="C342" s="545"/>
      <c r="D342" s="545"/>
      <c r="E342" s="545"/>
      <c r="F342" s="545"/>
      <c r="G342" s="545"/>
      <c r="H342" s="545"/>
      <c r="I342" s="545"/>
      <c r="J342" s="545"/>
      <c r="K342" s="545"/>
      <c r="L342" s="545"/>
      <c r="M342" s="545"/>
      <c r="N342" s="545"/>
      <c r="O342" s="545"/>
      <c r="P342" s="545"/>
      <c r="Q342" s="545"/>
      <c r="R342" s="545"/>
    </row>
    <row r="343" spans="1:18" ht="37.5">
      <c r="A343" s="66">
        <v>1</v>
      </c>
      <c r="B343" s="67">
        <v>2</v>
      </c>
      <c r="C343" s="349">
        <v>3</v>
      </c>
      <c r="D343" s="67">
        <v>4</v>
      </c>
      <c r="E343" s="67">
        <v>5</v>
      </c>
      <c r="F343" s="67">
        <v>6</v>
      </c>
      <c r="G343" s="67">
        <v>7</v>
      </c>
      <c r="H343" s="67">
        <v>8</v>
      </c>
      <c r="I343" s="67">
        <v>9</v>
      </c>
      <c r="J343" s="67">
        <v>10</v>
      </c>
      <c r="K343" s="67">
        <v>11</v>
      </c>
      <c r="L343" s="67">
        <v>12</v>
      </c>
      <c r="M343" s="67">
        <v>13</v>
      </c>
      <c r="N343" s="67">
        <v>14</v>
      </c>
      <c r="O343" s="67">
        <v>15</v>
      </c>
      <c r="P343" s="67">
        <v>16</v>
      </c>
      <c r="Q343" s="67">
        <v>17</v>
      </c>
      <c r="R343" s="67">
        <v>18</v>
      </c>
    </row>
    <row r="344" spans="1:18" ht="76.5">
      <c r="A344" s="113">
        <v>1</v>
      </c>
      <c r="B344" s="69" t="s">
        <v>176</v>
      </c>
      <c r="C344" s="338">
        <v>0.5</v>
      </c>
      <c r="D344" s="71">
        <v>5265</v>
      </c>
      <c r="E344" s="71">
        <f>D344*0.1</f>
        <v>526.5</v>
      </c>
      <c r="F344" s="71"/>
      <c r="G344" s="71"/>
      <c r="H344" s="71"/>
      <c r="I344" s="71"/>
      <c r="J344" s="71"/>
      <c r="K344" s="71">
        <f>SUM(D344:J344)</f>
        <v>5791.5</v>
      </c>
      <c r="L344" s="71"/>
      <c r="M344" s="71"/>
      <c r="N344" s="71">
        <f>K344*0.3</f>
        <v>1737.45</v>
      </c>
      <c r="O344" s="71"/>
      <c r="P344" s="71"/>
      <c r="Q344" s="48">
        <f>SUM(K344:P344)*C344</f>
        <v>3764.475</v>
      </c>
      <c r="R344" s="72">
        <v>10</v>
      </c>
    </row>
    <row r="345" spans="1:18" ht="111" customHeight="1">
      <c r="A345" s="113">
        <v>2</v>
      </c>
      <c r="B345" s="69" t="s">
        <v>177</v>
      </c>
      <c r="C345" s="339">
        <v>3.25</v>
      </c>
      <c r="D345" s="71">
        <v>5265</v>
      </c>
      <c r="E345" s="71"/>
      <c r="F345" s="71"/>
      <c r="G345" s="71"/>
      <c r="H345" s="71"/>
      <c r="I345" s="71"/>
      <c r="J345" s="71"/>
      <c r="K345" s="71">
        <f>SUM(D345:J345)</f>
        <v>5265</v>
      </c>
      <c r="L345" s="71"/>
      <c r="M345" s="71"/>
      <c r="N345" s="71">
        <f>K345*0.3</f>
        <v>1579.5</v>
      </c>
      <c r="O345" s="71"/>
      <c r="P345" s="71"/>
      <c r="Q345" s="48">
        <f>SUM(K345:P345)*C345</f>
        <v>22244.625</v>
      </c>
      <c r="R345" s="72">
        <v>10</v>
      </c>
    </row>
    <row r="346" spans="1:18" ht="99" customHeight="1">
      <c r="A346" s="113">
        <v>3</v>
      </c>
      <c r="B346" s="69" t="s">
        <v>240</v>
      </c>
      <c r="C346" s="338">
        <v>1</v>
      </c>
      <c r="D346" s="71">
        <v>4455</v>
      </c>
      <c r="E346" s="71"/>
      <c r="F346" s="71"/>
      <c r="G346" s="71"/>
      <c r="H346" s="71"/>
      <c r="I346" s="71"/>
      <c r="J346" s="71"/>
      <c r="K346" s="71">
        <f>SUM(D346:J346)</f>
        <v>4455</v>
      </c>
      <c r="L346" s="71"/>
      <c r="M346" s="71"/>
      <c r="N346" s="71">
        <f>K346*0.1</f>
        <v>445.5</v>
      </c>
      <c r="O346" s="71"/>
      <c r="P346" s="71"/>
      <c r="Q346" s="48">
        <f>SUM(K346:P346)*C346</f>
        <v>4900.5</v>
      </c>
      <c r="R346" s="72">
        <v>7</v>
      </c>
    </row>
    <row r="347" spans="1:18" ht="100.5" customHeight="1">
      <c r="A347" s="113">
        <v>4</v>
      </c>
      <c r="B347" s="69" t="s">
        <v>48</v>
      </c>
      <c r="C347" s="338">
        <v>2</v>
      </c>
      <c r="D347" s="71">
        <v>3674</v>
      </c>
      <c r="E347" s="71"/>
      <c r="F347" s="71"/>
      <c r="G347" s="71"/>
      <c r="H347" s="71"/>
      <c r="I347" s="71"/>
      <c r="J347" s="71"/>
      <c r="K347" s="71">
        <f>SUM(D347:J347)</f>
        <v>3674</v>
      </c>
      <c r="L347" s="71"/>
      <c r="M347" s="71"/>
      <c r="N347" s="71"/>
      <c r="O347" s="71"/>
      <c r="P347" s="71">
        <f>K347*10%</f>
        <v>367.40000000000003</v>
      </c>
      <c r="Q347" s="48">
        <f>SUM(K347:P347)*C347</f>
        <v>8082.8</v>
      </c>
      <c r="R347" s="72">
        <v>4</v>
      </c>
    </row>
    <row r="348" spans="1:18" ht="102.75" customHeight="1" thickBot="1">
      <c r="A348" s="527" t="s">
        <v>231</v>
      </c>
      <c r="B348" s="528"/>
      <c r="C348" s="342">
        <f>SUM(C344:C347)</f>
        <v>6.75</v>
      </c>
      <c r="D348" s="253"/>
      <c r="E348" s="253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4">
        <f>SUM(Q344:Q347)</f>
        <v>38992.4</v>
      </c>
      <c r="R348" s="255"/>
    </row>
    <row r="349" spans="1:18" ht="38.25">
      <c r="A349" s="184"/>
      <c r="B349" s="252"/>
      <c r="C349" s="367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256"/>
      <c r="R349" s="184"/>
    </row>
    <row r="350" spans="1:18" ht="60.75" customHeight="1">
      <c r="A350" s="184"/>
      <c r="B350" s="221" t="s">
        <v>66</v>
      </c>
      <c r="C350" s="348">
        <f>C344+C345+C346</f>
        <v>4.75</v>
      </c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258">
        <f>Q344+Q345+Q346</f>
        <v>30909.6</v>
      </c>
      <c r="R350" s="184"/>
    </row>
    <row r="351" spans="1:18" ht="69" customHeight="1">
      <c r="A351" s="184"/>
      <c r="B351" s="221" t="s">
        <v>51</v>
      </c>
      <c r="C351" s="341">
        <f>C347</f>
        <v>2</v>
      </c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258">
        <f>Q347</f>
        <v>8082.8</v>
      </c>
      <c r="R351" s="184"/>
    </row>
    <row r="352" spans="1:18" ht="24" customHeight="1" hidden="1">
      <c r="A352" s="65"/>
      <c r="B352" s="65"/>
      <c r="C352" s="419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</row>
    <row r="353" spans="1:18" ht="68.25" customHeight="1" hidden="1">
      <c r="A353" s="197"/>
      <c r="B353" s="65"/>
      <c r="C353" s="419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</row>
    <row r="354" spans="1:18" ht="80.25" customHeight="1" hidden="1">
      <c r="A354" s="509" t="s">
        <v>67</v>
      </c>
      <c r="B354" s="509"/>
      <c r="C354" s="509"/>
      <c r="D354" s="509"/>
      <c r="E354" s="509"/>
      <c r="F354" s="509"/>
      <c r="G354" s="509"/>
      <c r="H354" s="509"/>
      <c r="I354" s="509"/>
      <c r="J354" s="509"/>
      <c r="K354" s="509"/>
      <c r="L354" s="509"/>
      <c r="M354" s="509"/>
      <c r="N354" s="509"/>
      <c r="O354" s="509"/>
      <c r="P354" s="509"/>
      <c r="Q354" s="509"/>
      <c r="R354" s="509"/>
    </row>
    <row r="355" spans="1:18" ht="79.5" customHeight="1" hidden="1">
      <c r="A355" s="148">
        <v>1</v>
      </c>
      <c r="B355" s="69" t="s">
        <v>188</v>
      </c>
      <c r="C355" s="338">
        <v>0.5</v>
      </c>
      <c r="D355" s="71">
        <v>5005</v>
      </c>
      <c r="E355" s="71">
        <f>D355*0.1</f>
        <v>500.5</v>
      </c>
      <c r="F355" s="71"/>
      <c r="G355" s="71"/>
      <c r="H355" s="71"/>
      <c r="I355" s="71"/>
      <c r="J355" s="71"/>
      <c r="K355" s="71">
        <f>SUM(D355:J355)</f>
        <v>5505.5</v>
      </c>
      <c r="L355" s="71"/>
      <c r="M355" s="71"/>
      <c r="N355" s="71">
        <f>K355*0.3</f>
        <v>1651.6499999999999</v>
      </c>
      <c r="O355" s="71"/>
      <c r="P355" s="100"/>
      <c r="Q355" s="48">
        <f>SUM(K355:P355)*C355</f>
        <v>3578.575</v>
      </c>
      <c r="R355" s="72">
        <v>9</v>
      </c>
    </row>
    <row r="356" spans="1:18" ht="76.5" customHeight="1" hidden="1">
      <c r="A356" s="148">
        <v>2</v>
      </c>
      <c r="B356" s="69" t="s">
        <v>189</v>
      </c>
      <c r="C356" s="338">
        <v>2.5</v>
      </c>
      <c r="D356" s="71">
        <v>5005</v>
      </c>
      <c r="E356" s="71"/>
      <c r="F356" s="71"/>
      <c r="G356" s="71"/>
      <c r="H356" s="71"/>
      <c r="I356" s="71"/>
      <c r="J356" s="71"/>
      <c r="K356" s="71">
        <f>SUM(D356:J356)</f>
        <v>5005</v>
      </c>
      <c r="L356" s="71"/>
      <c r="M356" s="71"/>
      <c r="N356" s="71">
        <f>K356*0.3</f>
        <v>1501.5</v>
      </c>
      <c r="O356" s="71"/>
      <c r="P356" s="100"/>
      <c r="Q356" s="48">
        <f>SUM(K356:P356)*C356</f>
        <v>16266.25</v>
      </c>
      <c r="R356" s="72">
        <v>9</v>
      </c>
    </row>
    <row r="357" spans="1:18" ht="58.5" customHeight="1" hidden="1">
      <c r="A357" s="148">
        <v>3</v>
      </c>
      <c r="B357" s="69" t="s">
        <v>189</v>
      </c>
      <c r="C357" s="338">
        <v>1</v>
      </c>
      <c r="D357" s="71">
        <v>5005</v>
      </c>
      <c r="E357" s="71"/>
      <c r="F357" s="71"/>
      <c r="G357" s="71"/>
      <c r="H357" s="71"/>
      <c r="I357" s="71"/>
      <c r="J357" s="71"/>
      <c r="K357" s="71">
        <f>SUM(D357:J357)</f>
        <v>5005</v>
      </c>
      <c r="L357" s="71"/>
      <c r="M357" s="71"/>
      <c r="N357" s="71">
        <f>K357*0.2</f>
        <v>1001</v>
      </c>
      <c r="O357" s="71"/>
      <c r="P357" s="100"/>
      <c r="Q357" s="48">
        <f>SUM(K357:P357)*C357</f>
        <v>6006</v>
      </c>
      <c r="R357" s="72">
        <v>9</v>
      </c>
    </row>
    <row r="358" spans="1:18" ht="59.25" customHeight="1" hidden="1">
      <c r="A358" s="148">
        <v>4</v>
      </c>
      <c r="B358" s="69" t="s">
        <v>322</v>
      </c>
      <c r="C358" s="338">
        <v>1</v>
      </c>
      <c r="D358" s="71">
        <v>4745</v>
      </c>
      <c r="E358" s="71"/>
      <c r="F358" s="71"/>
      <c r="G358" s="71"/>
      <c r="H358" s="71"/>
      <c r="I358" s="71"/>
      <c r="J358" s="71"/>
      <c r="K358" s="71">
        <f>SUM(D358:J358)</f>
        <v>4745</v>
      </c>
      <c r="L358" s="71"/>
      <c r="M358" s="71"/>
      <c r="N358" s="71">
        <f>K358*0.2</f>
        <v>949</v>
      </c>
      <c r="O358" s="71"/>
      <c r="P358" s="100"/>
      <c r="Q358" s="48">
        <f>SUM(K358:P358)*C358</f>
        <v>5694</v>
      </c>
      <c r="R358" s="72">
        <v>8</v>
      </c>
    </row>
    <row r="359" spans="1:18" ht="79.5" customHeight="1" hidden="1">
      <c r="A359" s="148">
        <v>5</v>
      </c>
      <c r="B359" s="69" t="s">
        <v>49</v>
      </c>
      <c r="C359" s="338">
        <v>4.5</v>
      </c>
      <c r="D359" s="71">
        <v>3414</v>
      </c>
      <c r="E359" s="71"/>
      <c r="F359" s="71"/>
      <c r="G359" s="71"/>
      <c r="H359" s="71"/>
      <c r="I359" s="71"/>
      <c r="J359" s="71"/>
      <c r="K359" s="71">
        <f>SUM(D359:J359)</f>
        <v>3414</v>
      </c>
      <c r="L359" s="71"/>
      <c r="M359" s="71"/>
      <c r="N359" s="71"/>
      <c r="O359" s="71"/>
      <c r="P359" s="100">
        <f>K359*10%</f>
        <v>341.40000000000003</v>
      </c>
      <c r="Q359" s="48">
        <f>SUM(K359:P359)*C359</f>
        <v>16899.3</v>
      </c>
      <c r="R359" s="72">
        <v>3</v>
      </c>
    </row>
    <row r="360" spans="1:18" ht="70.5" customHeight="1" hidden="1">
      <c r="A360" s="538" t="s">
        <v>18</v>
      </c>
      <c r="B360" s="540"/>
      <c r="C360" s="355">
        <f>SUM(C355:C359)</f>
        <v>9.5</v>
      </c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100"/>
      <c r="Q360" s="101">
        <f>SUM(Q355:Q359)</f>
        <v>48444.125</v>
      </c>
      <c r="R360" s="72"/>
    </row>
    <row r="361" spans="1:18" ht="2.25" customHeight="1" hidden="1">
      <c r="A361" s="505"/>
      <c r="B361" s="505"/>
      <c r="C361" s="37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0"/>
      <c r="Q361" s="261"/>
      <c r="R361" s="65"/>
    </row>
    <row r="362" spans="1:18" ht="53.25" customHeight="1" hidden="1">
      <c r="A362" s="504" t="s">
        <v>66</v>
      </c>
      <c r="B362" s="506"/>
      <c r="C362" s="410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  <c r="N362" s="260"/>
      <c r="O362" s="260"/>
      <c r="P362" s="260"/>
      <c r="Q362" s="447"/>
      <c r="R362" s="65"/>
    </row>
    <row r="363" spans="1:18" ht="58.5" customHeight="1" hidden="1">
      <c r="A363" s="504" t="s">
        <v>51</v>
      </c>
      <c r="B363" s="504"/>
      <c r="C363" s="410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  <c r="N363" s="260"/>
      <c r="O363" s="260"/>
      <c r="P363" s="260"/>
      <c r="Q363" s="262"/>
      <c r="R363" s="65"/>
    </row>
    <row r="364" spans="1:18" ht="183" customHeight="1">
      <c r="A364" s="204"/>
      <c r="B364" s="65"/>
      <c r="C364" s="419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spans="1:18" ht="42.75" customHeight="1">
      <c r="A365" s="510" t="s">
        <v>117</v>
      </c>
      <c r="B365" s="510"/>
      <c r="C365" s="510"/>
      <c r="D365" s="510"/>
      <c r="E365" s="510"/>
      <c r="F365" s="510"/>
      <c r="G365" s="510"/>
      <c r="H365" s="510"/>
      <c r="I365" s="510"/>
      <c r="J365" s="510"/>
      <c r="K365" s="510"/>
      <c r="L365" s="510"/>
      <c r="M365" s="510"/>
      <c r="N365" s="510"/>
      <c r="O365" s="510"/>
      <c r="P365" s="510"/>
      <c r="Q365" s="510"/>
      <c r="R365" s="510"/>
    </row>
    <row r="366" spans="1:18" ht="37.5">
      <c r="A366" s="66">
        <v>1</v>
      </c>
      <c r="B366" s="67">
        <v>2</v>
      </c>
      <c r="C366" s="349">
        <v>3</v>
      </c>
      <c r="D366" s="67">
        <v>4</v>
      </c>
      <c r="E366" s="67">
        <v>5</v>
      </c>
      <c r="F366" s="67">
        <v>6</v>
      </c>
      <c r="G366" s="67">
        <v>7</v>
      </c>
      <c r="H366" s="67">
        <v>8</v>
      </c>
      <c r="I366" s="67">
        <v>9</v>
      </c>
      <c r="J366" s="67">
        <v>10</v>
      </c>
      <c r="K366" s="67">
        <v>11</v>
      </c>
      <c r="L366" s="67">
        <v>12</v>
      </c>
      <c r="M366" s="67">
        <v>13</v>
      </c>
      <c r="N366" s="67">
        <v>14</v>
      </c>
      <c r="O366" s="67">
        <v>15</v>
      </c>
      <c r="P366" s="67">
        <v>16</v>
      </c>
      <c r="Q366" s="67">
        <v>17</v>
      </c>
      <c r="R366" s="67">
        <v>18</v>
      </c>
    </row>
    <row r="367" spans="1:18" ht="114.75">
      <c r="A367" s="113">
        <v>1</v>
      </c>
      <c r="B367" s="69" t="s">
        <v>50</v>
      </c>
      <c r="C367" s="338">
        <v>0.5</v>
      </c>
      <c r="D367" s="70">
        <v>6567</v>
      </c>
      <c r="E367" s="71">
        <f>D367*0.2</f>
        <v>1313.4</v>
      </c>
      <c r="F367" s="71">
        <f>(D367+E367)*0.3</f>
        <v>2364.12</v>
      </c>
      <c r="G367" s="71"/>
      <c r="H367" s="70">
        <f aca="true" t="shared" si="30" ref="H367:H374">(D367+E367+F367)*0.15</f>
        <v>1536.678</v>
      </c>
      <c r="I367" s="71"/>
      <c r="J367" s="71"/>
      <c r="K367" s="71">
        <f aca="true" t="shared" si="31" ref="K367:K374">SUM(D367:J367)</f>
        <v>11781.198</v>
      </c>
      <c r="L367" s="71"/>
      <c r="M367" s="71"/>
      <c r="N367" s="70">
        <f aca="true" t="shared" si="32" ref="N367:N373">K367*0.3</f>
        <v>3534.3594</v>
      </c>
      <c r="O367" s="71"/>
      <c r="P367" s="100"/>
      <c r="Q367" s="48">
        <f aca="true" t="shared" si="33" ref="Q367:Q374">SUM(K367:P367)*C367</f>
        <v>7657.7787</v>
      </c>
      <c r="R367" s="72">
        <v>13</v>
      </c>
    </row>
    <row r="368" spans="1:18" ht="38.25">
      <c r="A368" s="113">
        <v>2</v>
      </c>
      <c r="B368" s="69" t="s">
        <v>172</v>
      </c>
      <c r="C368" s="338">
        <v>4</v>
      </c>
      <c r="D368" s="70">
        <v>6567</v>
      </c>
      <c r="E368" s="71"/>
      <c r="F368" s="71">
        <f>(D368+E368)*0.2</f>
        <v>1313.4</v>
      </c>
      <c r="G368" s="71"/>
      <c r="H368" s="70">
        <f t="shared" si="30"/>
        <v>1182.06</v>
      </c>
      <c r="I368" s="71"/>
      <c r="J368" s="71"/>
      <c r="K368" s="71">
        <f>SUM(D368:J368)</f>
        <v>9062.46</v>
      </c>
      <c r="L368" s="71"/>
      <c r="M368" s="71"/>
      <c r="N368" s="70">
        <f t="shared" si="32"/>
        <v>2718.738</v>
      </c>
      <c r="O368" s="71"/>
      <c r="P368" s="100"/>
      <c r="Q368" s="48">
        <f>SUM(K368:P368)*C368</f>
        <v>47124.791999999994</v>
      </c>
      <c r="R368" s="72">
        <v>13</v>
      </c>
    </row>
    <row r="369" spans="1:18" ht="38.25">
      <c r="A369" s="113">
        <v>3</v>
      </c>
      <c r="B369" s="69" t="s">
        <v>230</v>
      </c>
      <c r="C369" s="338">
        <v>0.5</v>
      </c>
      <c r="D369" s="70">
        <v>7001</v>
      </c>
      <c r="E369" s="71"/>
      <c r="F369" s="71">
        <f>(D369+E369)*0.2</f>
        <v>1400.2</v>
      </c>
      <c r="G369" s="71"/>
      <c r="H369" s="70">
        <f t="shared" si="30"/>
        <v>1260.18</v>
      </c>
      <c r="I369" s="71"/>
      <c r="J369" s="71"/>
      <c r="K369" s="71">
        <f t="shared" si="31"/>
        <v>9661.380000000001</v>
      </c>
      <c r="L369" s="71"/>
      <c r="M369" s="71"/>
      <c r="N369" s="70">
        <f t="shared" si="32"/>
        <v>2898.414</v>
      </c>
      <c r="O369" s="71"/>
      <c r="P369" s="100"/>
      <c r="Q369" s="48">
        <f t="shared" si="33"/>
        <v>6279.897000000001</v>
      </c>
      <c r="R369" s="72">
        <v>14</v>
      </c>
    </row>
    <row r="370" spans="1:18" ht="76.5">
      <c r="A370" s="113">
        <v>4</v>
      </c>
      <c r="B370" s="69" t="s">
        <v>173</v>
      </c>
      <c r="C370" s="338">
        <v>0.5</v>
      </c>
      <c r="D370" s="70">
        <v>5265</v>
      </c>
      <c r="E370" s="70">
        <f>D370*0.1</f>
        <v>526.5</v>
      </c>
      <c r="F370" s="70"/>
      <c r="G370" s="70"/>
      <c r="H370" s="70">
        <f t="shared" si="30"/>
        <v>868.725</v>
      </c>
      <c r="I370" s="70"/>
      <c r="J370" s="70"/>
      <c r="K370" s="70">
        <f t="shared" si="31"/>
        <v>6660.225</v>
      </c>
      <c r="L370" s="70"/>
      <c r="M370" s="70"/>
      <c r="N370" s="70">
        <f t="shared" si="32"/>
        <v>1998.0675</v>
      </c>
      <c r="O370" s="70"/>
      <c r="P370" s="216"/>
      <c r="Q370" s="48">
        <f t="shared" si="33"/>
        <v>4329.14625</v>
      </c>
      <c r="R370" s="72">
        <v>10</v>
      </c>
    </row>
    <row r="371" spans="1:18" ht="76.5">
      <c r="A371" s="113">
        <v>5</v>
      </c>
      <c r="B371" s="69" t="s">
        <v>174</v>
      </c>
      <c r="C371" s="338">
        <v>5.5</v>
      </c>
      <c r="D371" s="70">
        <v>5265</v>
      </c>
      <c r="E371" s="70"/>
      <c r="F371" s="70"/>
      <c r="G371" s="70"/>
      <c r="H371" s="70">
        <f t="shared" si="30"/>
        <v>789.75</v>
      </c>
      <c r="I371" s="70"/>
      <c r="J371" s="70"/>
      <c r="K371" s="70">
        <f t="shared" si="31"/>
        <v>6054.75</v>
      </c>
      <c r="L371" s="70"/>
      <c r="M371" s="70"/>
      <c r="N371" s="70">
        <f t="shared" si="32"/>
        <v>1816.425</v>
      </c>
      <c r="O371" s="70"/>
      <c r="P371" s="216"/>
      <c r="Q371" s="47">
        <f t="shared" si="33"/>
        <v>43291.4625</v>
      </c>
      <c r="R371" s="217">
        <v>10</v>
      </c>
    </row>
    <row r="372" spans="1:18" ht="76.5">
      <c r="A372" s="113">
        <v>7</v>
      </c>
      <c r="B372" s="69" t="s">
        <v>112</v>
      </c>
      <c r="C372" s="338">
        <v>5</v>
      </c>
      <c r="D372" s="70">
        <v>5265</v>
      </c>
      <c r="E372" s="70"/>
      <c r="F372" s="70"/>
      <c r="G372" s="70"/>
      <c r="H372" s="70">
        <f t="shared" si="30"/>
        <v>789.75</v>
      </c>
      <c r="I372" s="70"/>
      <c r="J372" s="70"/>
      <c r="K372" s="70">
        <f t="shared" si="31"/>
        <v>6054.75</v>
      </c>
      <c r="L372" s="70"/>
      <c r="M372" s="70"/>
      <c r="N372" s="70">
        <f t="shared" si="32"/>
        <v>1816.425</v>
      </c>
      <c r="O372" s="70"/>
      <c r="P372" s="216"/>
      <c r="Q372" s="47">
        <f t="shared" si="33"/>
        <v>39355.875</v>
      </c>
      <c r="R372" s="72">
        <v>10</v>
      </c>
    </row>
    <row r="373" spans="1:18" ht="114.75">
      <c r="A373" s="113">
        <v>8</v>
      </c>
      <c r="B373" s="69" t="s">
        <v>175</v>
      </c>
      <c r="C373" s="338">
        <v>5</v>
      </c>
      <c r="D373" s="70">
        <v>5265</v>
      </c>
      <c r="E373" s="70"/>
      <c r="F373" s="70"/>
      <c r="G373" s="70"/>
      <c r="H373" s="70">
        <f t="shared" si="30"/>
        <v>789.75</v>
      </c>
      <c r="I373" s="70"/>
      <c r="J373" s="70"/>
      <c r="K373" s="70">
        <f t="shared" si="31"/>
        <v>6054.75</v>
      </c>
      <c r="L373" s="70"/>
      <c r="M373" s="70"/>
      <c r="N373" s="70">
        <f t="shared" si="32"/>
        <v>1816.425</v>
      </c>
      <c r="O373" s="70"/>
      <c r="P373" s="263"/>
      <c r="Q373" s="47">
        <f t="shared" si="33"/>
        <v>39355.875</v>
      </c>
      <c r="R373" s="72">
        <v>10</v>
      </c>
    </row>
    <row r="374" spans="1:18" ht="68.25" customHeight="1">
      <c r="A374" s="113">
        <v>10</v>
      </c>
      <c r="B374" s="69" t="s">
        <v>114</v>
      </c>
      <c r="C374" s="338">
        <v>5</v>
      </c>
      <c r="D374" s="70">
        <v>3674</v>
      </c>
      <c r="E374" s="70"/>
      <c r="F374" s="70"/>
      <c r="G374" s="70"/>
      <c r="H374" s="70">
        <f t="shared" si="30"/>
        <v>551.1</v>
      </c>
      <c r="I374" s="70"/>
      <c r="J374" s="70"/>
      <c r="K374" s="70">
        <f t="shared" si="31"/>
        <v>4225.1</v>
      </c>
      <c r="L374" s="70"/>
      <c r="M374" s="70"/>
      <c r="N374" s="70"/>
      <c r="O374" s="70"/>
      <c r="P374" s="263">
        <f>D374*10%</f>
        <v>367.40000000000003</v>
      </c>
      <c r="Q374" s="48">
        <f t="shared" si="33"/>
        <v>22962.5</v>
      </c>
      <c r="R374" s="72">
        <v>4</v>
      </c>
    </row>
    <row r="375" spans="1:18" ht="45" customHeight="1" thickBot="1">
      <c r="A375" s="529" t="s">
        <v>18</v>
      </c>
      <c r="B375" s="530"/>
      <c r="C375" s="374">
        <f>SUM(C367:C374)</f>
        <v>26</v>
      </c>
      <c r="D375" s="253"/>
      <c r="E375" s="253"/>
      <c r="F375" s="253"/>
      <c r="G375" s="253"/>
      <c r="H375" s="253"/>
      <c r="I375" s="253"/>
      <c r="J375" s="253"/>
      <c r="K375" s="253"/>
      <c r="L375" s="253"/>
      <c r="M375" s="253"/>
      <c r="N375" s="253"/>
      <c r="O375" s="253"/>
      <c r="P375" s="264"/>
      <c r="Q375" s="388">
        <f>SUM(Q367:Q374)</f>
        <v>210357.32645</v>
      </c>
      <c r="R375" s="255"/>
    </row>
    <row r="376" spans="1:18" ht="0.75" customHeight="1">
      <c r="A376" s="184"/>
      <c r="B376" s="252"/>
      <c r="C376" s="376"/>
      <c r="D376" s="265"/>
      <c r="E376" s="265"/>
      <c r="F376" s="265"/>
      <c r="G376" s="265"/>
      <c r="H376" s="266"/>
      <c r="I376" s="265"/>
      <c r="J376" s="265"/>
      <c r="K376" s="265"/>
      <c r="L376" s="265"/>
      <c r="M376" s="265"/>
      <c r="N376" s="265"/>
      <c r="O376" s="265"/>
      <c r="P376" s="265"/>
      <c r="Q376" s="267"/>
      <c r="R376" s="184"/>
    </row>
    <row r="377" spans="1:29" s="21" customFormat="1" ht="30.75" customHeight="1">
      <c r="A377" s="184"/>
      <c r="B377" s="180" t="s">
        <v>65</v>
      </c>
      <c r="C377" s="375">
        <f>C367+C368+C369</f>
        <v>5</v>
      </c>
      <c r="D377" s="265"/>
      <c r="E377" s="265"/>
      <c r="F377" s="265"/>
      <c r="G377" s="265"/>
      <c r="H377" s="266"/>
      <c r="I377" s="265"/>
      <c r="J377" s="265"/>
      <c r="K377" s="265"/>
      <c r="L377" s="265"/>
      <c r="M377" s="265"/>
      <c r="N377" s="265"/>
      <c r="O377" s="265"/>
      <c r="P377" s="265"/>
      <c r="Q377" s="268">
        <f>SUM(Q367:Q369)</f>
        <v>61062.467699999994</v>
      </c>
      <c r="R377" s="184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s="21" customFormat="1" ht="47.25" customHeight="1">
      <c r="A378" s="184"/>
      <c r="B378" s="180" t="s">
        <v>66</v>
      </c>
      <c r="C378" s="375">
        <f>SUM(C370:C373)</f>
        <v>16</v>
      </c>
      <c r="D378" s="265"/>
      <c r="E378" s="265"/>
      <c r="F378" s="265"/>
      <c r="G378" s="265"/>
      <c r="H378" s="266"/>
      <c r="I378" s="265"/>
      <c r="J378" s="265"/>
      <c r="K378" s="265"/>
      <c r="L378" s="265"/>
      <c r="M378" s="265"/>
      <c r="N378" s="265"/>
      <c r="O378" s="265"/>
      <c r="P378" s="265"/>
      <c r="Q378" s="268">
        <f>SUM(Q370:Q373)</f>
        <v>126332.35875</v>
      </c>
      <c r="R378" s="184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s="21" customFormat="1" ht="39" customHeight="1">
      <c r="A379" s="184"/>
      <c r="B379" s="180" t="s">
        <v>51</v>
      </c>
      <c r="C379" s="375">
        <f>C374</f>
        <v>5</v>
      </c>
      <c r="D379" s="265"/>
      <c r="E379" s="265"/>
      <c r="F379" s="265"/>
      <c r="G379" s="265"/>
      <c r="H379" s="266"/>
      <c r="I379" s="265"/>
      <c r="J379" s="265"/>
      <c r="K379" s="265"/>
      <c r="L379" s="265"/>
      <c r="M379" s="265"/>
      <c r="N379" s="265"/>
      <c r="O379" s="265"/>
      <c r="P379" s="265"/>
      <c r="Q379" s="257">
        <f>Q374</f>
        <v>22962.5</v>
      </c>
      <c r="R379" s="184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18" ht="39" customHeight="1">
      <c r="A380" s="306" t="s">
        <v>226</v>
      </c>
      <c r="B380" s="305"/>
      <c r="C380" s="432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  <c r="N380" s="305"/>
      <c r="O380" s="305"/>
      <c r="P380" s="305"/>
      <c r="Q380" s="305"/>
      <c r="R380" s="305"/>
    </row>
    <row r="381" spans="1:18" ht="16.5" customHeight="1" hidden="1">
      <c r="A381" s="509"/>
      <c r="B381" s="509"/>
      <c r="C381" s="509"/>
      <c r="D381" s="509"/>
      <c r="E381" s="509"/>
      <c r="F381" s="509"/>
      <c r="G381" s="509"/>
      <c r="H381" s="509"/>
      <c r="I381" s="509"/>
      <c r="J381" s="509"/>
      <c r="K381" s="509"/>
      <c r="L381" s="509"/>
      <c r="M381" s="509"/>
      <c r="N381" s="509"/>
      <c r="O381" s="509"/>
      <c r="P381" s="509"/>
      <c r="Q381" s="509"/>
      <c r="R381" s="509"/>
    </row>
    <row r="382" spans="1:18" ht="37.5">
      <c r="A382" s="66">
        <v>1</v>
      </c>
      <c r="B382" s="67">
        <v>2</v>
      </c>
      <c r="C382" s="349">
        <v>3</v>
      </c>
      <c r="D382" s="67">
        <v>4</v>
      </c>
      <c r="E382" s="67">
        <v>5</v>
      </c>
      <c r="F382" s="67">
        <v>6</v>
      </c>
      <c r="G382" s="67">
        <v>7</v>
      </c>
      <c r="H382" s="67">
        <v>8</v>
      </c>
      <c r="I382" s="67">
        <v>9</v>
      </c>
      <c r="J382" s="67">
        <v>10</v>
      </c>
      <c r="K382" s="67">
        <v>11</v>
      </c>
      <c r="L382" s="67">
        <v>12</v>
      </c>
      <c r="M382" s="67">
        <v>13</v>
      </c>
      <c r="N382" s="67">
        <v>14</v>
      </c>
      <c r="O382" s="67">
        <v>15</v>
      </c>
      <c r="P382" s="67">
        <v>16</v>
      </c>
      <c r="Q382" s="67">
        <v>17</v>
      </c>
      <c r="R382" s="67">
        <v>18</v>
      </c>
    </row>
    <row r="383" spans="1:18" ht="83.25" customHeight="1">
      <c r="A383" s="113">
        <v>1</v>
      </c>
      <c r="B383" s="403" t="s">
        <v>288</v>
      </c>
      <c r="C383" s="338">
        <v>1</v>
      </c>
      <c r="D383" s="70">
        <v>6567</v>
      </c>
      <c r="E383" s="70">
        <f>D383*0.1</f>
        <v>656.7</v>
      </c>
      <c r="F383" s="70"/>
      <c r="G383" s="70"/>
      <c r="H383" s="70"/>
      <c r="I383" s="70"/>
      <c r="J383" s="70"/>
      <c r="K383" s="70">
        <f aca="true" t="shared" si="34" ref="K383:K392">SUM(D383:J383)</f>
        <v>7223.7</v>
      </c>
      <c r="L383" s="70"/>
      <c r="M383" s="70"/>
      <c r="N383" s="70">
        <f>K383*0.3</f>
        <v>2167.1099999999997</v>
      </c>
      <c r="O383" s="70"/>
      <c r="P383" s="216"/>
      <c r="Q383" s="47">
        <f aca="true" t="shared" si="35" ref="Q383:Q392">SUM(K383:P383)*C383</f>
        <v>9390.81</v>
      </c>
      <c r="R383" s="72">
        <v>13</v>
      </c>
    </row>
    <row r="384" spans="1:18" ht="33.75" customHeight="1">
      <c r="A384" s="113">
        <v>2</v>
      </c>
      <c r="B384" s="403" t="s">
        <v>165</v>
      </c>
      <c r="C384" s="338">
        <v>1.5</v>
      </c>
      <c r="D384" s="109">
        <v>6567</v>
      </c>
      <c r="E384" s="109"/>
      <c r="F384" s="109"/>
      <c r="G384" s="109"/>
      <c r="H384" s="109"/>
      <c r="I384" s="109"/>
      <c r="J384" s="109"/>
      <c r="K384" s="71">
        <f t="shared" si="34"/>
        <v>6567</v>
      </c>
      <c r="L384" s="109"/>
      <c r="M384" s="109"/>
      <c r="N384" s="70">
        <f>K384*0.3</f>
        <v>1970.1</v>
      </c>
      <c r="O384" s="71"/>
      <c r="P384" s="100"/>
      <c r="Q384" s="48">
        <f t="shared" si="35"/>
        <v>12805.650000000001</v>
      </c>
      <c r="R384" s="72">
        <v>13</v>
      </c>
    </row>
    <row r="385" spans="1:18" s="23" customFormat="1" ht="62.25" customHeight="1">
      <c r="A385" s="113">
        <v>3</v>
      </c>
      <c r="B385" s="403" t="s">
        <v>164</v>
      </c>
      <c r="C385" s="338">
        <v>1</v>
      </c>
      <c r="D385" s="109">
        <v>5005</v>
      </c>
      <c r="E385" s="109">
        <f>D385*0.1</f>
        <v>500.5</v>
      </c>
      <c r="F385" s="109"/>
      <c r="G385" s="109"/>
      <c r="H385" s="109"/>
      <c r="I385" s="109"/>
      <c r="J385" s="109"/>
      <c r="K385" s="71">
        <f t="shared" si="34"/>
        <v>5505.5</v>
      </c>
      <c r="L385" s="109"/>
      <c r="M385" s="109"/>
      <c r="N385" s="109">
        <f>K385*0.3</f>
        <v>1651.6499999999999</v>
      </c>
      <c r="O385" s="71"/>
      <c r="P385" s="100"/>
      <c r="Q385" s="48">
        <f t="shared" si="35"/>
        <v>7157.15</v>
      </c>
      <c r="R385" s="72">
        <v>9</v>
      </c>
    </row>
    <row r="386" spans="1:18" ht="52.5" customHeight="1">
      <c r="A386" s="113">
        <v>4</v>
      </c>
      <c r="B386" s="403" t="s">
        <v>289</v>
      </c>
      <c r="C386" s="338">
        <v>1</v>
      </c>
      <c r="D386" s="109">
        <v>4195</v>
      </c>
      <c r="E386" s="71"/>
      <c r="F386" s="71"/>
      <c r="G386" s="71"/>
      <c r="H386" s="71"/>
      <c r="I386" s="71"/>
      <c r="J386" s="71"/>
      <c r="K386" s="71">
        <f t="shared" si="34"/>
        <v>4195</v>
      </c>
      <c r="L386" s="71"/>
      <c r="M386" s="71"/>
      <c r="N386" s="109">
        <f>K386*0.2</f>
        <v>839</v>
      </c>
      <c r="O386" s="71"/>
      <c r="P386" s="100"/>
      <c r="Q386" s="48">
        <f t="shared" si="35"/>
        <v>5034</v>
      </c>
      <c r="R386" s="72">
        <v>6</v>
      </c>
    </row>
    <row r="387" spans="1:18" ht="70.5" hidden="1">
      <c r="A387" s="113">
        <v>6</v>
      </c>
      <c r="B387" s="403" t="s">
        <v>153</v>
      </c>
      <c r="C387" s="338">
        <v>0</v>
      </c>
      <c r="D387" s="109">
        <v>2555</v>
      </c>
      <c r="E387" s="71"/>
      <c r="F387" s="71"/>
      <c r="G387" s="71"/>
      <c r="H387" s="71"/>
      <c r="I387" s="71"/>
      <c r="J387" s="71"/>
      <c r="K387" s="71">
        <f t="shared" si="34"/>
        <v>2555</v>
      </c>
      <c r="L387" s="71"/>
      <c r="M387" s="71"/>
      <c r="N387" s="109">
        <f>K387*0.3</f>
        <v>766.5</v>
      </c>
      <c r="O387" s="71"/>
      <c r="P387" s="100"/>
      <c r="Q387" s="48">
        <f t="shared" si="35"/>
        <v>0</v>
      </c>
      <c r="R387" s="72">
        <v>6</v>
      </c>
    </row>
    <row r="388" spans="1:18" ht="62.25" customHeight="1">
      <c r="A388" s="113">
        <v>5</v>
      </c>
      <c r="B388" s="403" t="s">
        <v>308</v>
      </c>
      <c r="C388" s="338">
        <v>8</v>
      </c>
      <c r="D388" s="109">
        <v>5005</v>
      </c>
      <c r="E388" s="71"/>
      <c r="F388" s="71"/>
      <c r="G388" s="71"/>
      <c r="H388" s="83"/>
      <c r="I388" s="71"/>
      <c r="J388" s="71"/>
      <c r="K388" s="71">
        <f t="shared" si="34"/>
        <v>5005</v>
      </c>
      <c r="L388" s="71"/>
      <c r="M388" s="71"/>
      <c r="N388" s="109">
        <f>K388*0.3</f>
        <v>1501.5</v>
      </c>
      <c r="O388" s="71"/>
      <c r="P388" s="100"/>
      <c r="Q388" s="48">
        <f t="shared" si="35"/>
        <v>52052</v>
      </c>
      <c r="R388" s="72">
        <v>9</v>
      </c>
    </row>
    <row r="389" spans="1:18" ht="69" customHeight="1">
      <c r="A389" s="113">
        <v>6</v>
      </c>
      <c r="B389" s="403" t="s">
        <v>307</v>
      </c>
      <c r="C389" s="338">
        <v>1</v>
      </c>
      <c r="D389" s="109">
        <v>5005</v>
      </c>
      <c r="E389" s="71"/>
      <c r="F389" s="71"/>
      <c r="G389" s="71"/>
      <c r="H389" s="83"/>
      <c r="I389" s="71"/>
      <c r="J389" s="71"/>
      <c r="K389" s="71">
        <f t="shared" si="34"/>
        <v>5005</v>
      </c>
      <c r="L389" s="71"/>
      <c r="M389" s="71"/>
      <c r="N389" s="109">
        <f>K389*0.2</f>
        <v>1001</v>
      </c>
      <c r="O389" s="71"/>
      <c r="P389" s="100"/>
      <c r="Q389" s="48">
        <f t="shared" si="35"/>
        <v>6006</v>
      </c>
      <c r="R389" s="72">
        <v>9</v>
      </c>
    </row>
    <row r="390" spans="1:18" ht="64.5" customHeight="1">
      <c r="A390" s="113">
        <v>7</v>
      </c>
      <c r="B390" s="403" t="s">
        <v>115</v>
      </c>
      <c r="C390" s="338">
        <v>9</v>
      </c>
      <c r="D390" s="71">
        <v>3674</v>
      </c>
      <c r="E390" s="71"/>
      <c r="F390" s="71"/>
      <c r="G390" s="71"/>
      <c r="H390" s="71"/>
      <c r="I390" s="71"/>
      <c r="J390" s="71"/>
      <c r="K390" s="71">
        <f t="shared" si="34"/>
        <v>3674</v>
      </c>
      <c r="L390" s="71"/>
      <c r="M390" s="71"/>
      <c r="N390" s="71"/>
      <c r="O390" s="71"/>
      <c r="P390" s="100">
        <f>K390*10%</f>
        <v>367.40000000000003</v>
      </c>
      <c r="Q390" s="48">
        <f t="shared" si="35"/>
        <v>36372.6</v>
      </c>
      <c r="R390" s="72">
        <v>4</v>
      </c>
    </row>
    <row r="391" spans="1:18" ht="37.5" customHeight="1">
      <c r="A391" s="113">
        <v>8</v>
      </c>
      <c r="B391" s="403" t="s">
        <v>40</v>
      </c>
      <c r="C391" s="338">
        <v>1</v>
      </c>
      <c r="D391" s="71">
        <v>3674</v>
      </c>
      <c r="E391" s="71"/>
      <c r="F391" s="71"/>
      <c r="G391" s="71"/>
      <c r="H391" s="71"/>
      <c r="I391" s="71"/>
      <c r="J391" s="71"/>
      <c r="K391" s="71">
        <f t="shared" si="34"/>
        <v>3674</v>
      </c>
      <c r="L391" s="71"/>
      <c r="M391" s="71"/>
      <c r="N391" s="71"/>
      <c r="O391" s="71"/>
      <c r="P391" s="100"/>
      <c r="Q391" s="48">
        <f t="shared" si="35"/>
        <v>3674</v>
      </c>
      <c r="R391" s="72">
        <v>4</v>
      </c>
    </row>
    <row r="392" spans="1:18" ht="62.25" customHeight="1">
      <c r="A392" s="113">
        <v>9</v>
      </c>
      <c r="B392" s="403" t="s">
        <v>95</v>
      </c>
      <c r="C392" s="338">
        <v>1.5</v>
      </c>
      <c r="D392" s="71">
        <v>3414</v>
      </c>
      <c r="E392" s="71"/>
      <c r="F392" s="71"/>
      <c r="G392" s="71"/>
      <c r="H392" s="71"/>
      <c r="I392" s="71"/>
      <c r="J392" s="71"/>
      <c r="K392" s="71">
        <f t="shared" si="34"/>
        <v>3414</v>
      </c>
      <c r="L392" s="71"/>
      <c r="M392" s="71"/>
      <c r="N392" s="71"/>
      <c r="O392" s="71"/>
      <c r="P392" s="100"/>
      <c r="Q392" s="48">
        <f t="shared" si="35"/>
        <v>5121</v>
      </c>
      <c r="R392" s="72">
        <v>3</v>
      </c>
    </row>
    <row r="393" spans="1:18" ht="35.25" customHeight="1" hidden="1">
      <c r="A393" s="507"/>
      <c r="B393" s="511"/>
      <c r="C393" s="511"/>
      <c r="D393" s="511"/>
      <c r="E393" s="511"/>
      <c r="F393" s="511"/>
      <c r="G393" s="511"/>
      <c r="H393" s="511"/>
      <c r="I393" s="511"/>
      <c r="J393" s="511"/>
      <c r="K393" s="511"/>
      <c r="L393" s="511"/>
      <c r="M393" s="511"/>
      <c r="N393" s="511"/>
      <c r="O393" s="511"/>
      <c r="P393" s="511"/>
      <c r="Q393" s="511"/>
      <c r="R393" s="508"/>
    </row>
    <row r="394" spans="1:18" ht="45" customHeight="1" thickBot="1">
      <c r="A394" s="529" t="s">
        <v>18</v>
      </c>
      <c r="B394" s="530"/>
      <c r="C394" s="377">
        <f>SUM(C383:C393)</f>
        <v>25</v>
      </c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70">
        <f>SUM(Q383:Q393)</f>
        <v>137613.21</v>
      </c>
      <c r="R394" s="255"/>
    </row>
    <row r="395" spans="1:18" ht="45.75" customHeight="1" hidden="1">
      <c r="A395" s="184"/>
      <c r="B395" s="252"/>
      <c r="C395" s="376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271"/>
      <c r="R395" s="184"/>
    </row>
    <row r="396" spans="1:18" ht="41.25" customHeight="1">
      <c r="A396" s="184"/>
      <c r="B396" s="180" t="s">
        <v>65</v>
      </c>
      <c r="C396" s="375">
        <f>SUM(C383+C384)</f>
        <v>2.5</v>
      </c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272">
        <f>SUM(Q383+Q384)</f>
        <v>22196.46</v>
      </c>
      <c r="R396" s="184"/>
    </row>
    <row r="397" spans="1:18" ht="47.25" customHeight="1">
      <c r="A397" s="184"/>
      <c r="B397" s="180" t="s">
        <v>66</v>
      </c>
      <c r="C397" s="375">
        <f>C385+C386+C387+C388+C389</f>
        <v>11</v>
      </c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272">
        <f>Q385+Q386+Q387+Q388+Q389</f>
        <v>70249.15</v>
      </c>
      <c r="R397" s="184"/>
    </row>
    <row r="398" spans="1:18" ht="42" customHeight="1">
      <c r="A398" s="184"/>
      <c r="B398" s="180" t="s">
        <v>51</v>
      </c>
      <c r="C398" s="375">
        <f>SUM(C390+C392)</f>
        <v>10.5</v>
      </c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272">
        <f>SUM(Q390+Q392)</f>
        <v>41493.6</v>
      </c>
      <c r="R398" s="184"/>
    </row>
    <row r="399" spans="1:18" ht="45.75" customHeight="1">
      <c r="A399" s="184"/>
      <c r="B399" s="180" t="s">
        <v>63</v>
      </c>
      <c r="C399" s="375">
        <f>C391</f>
        <v>1</v>
      </c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272">
        <f>Q391</f>
        <v>3674</v>
      </c>
      <c r="R399" s="184"/>
    </row>
    <row r="400" spans="1:18" ht="73.5" customHeight="1">
      <c r="A400" s="65"/>
      <c r="B400" s="65"/>
      <c r="C400" s="419"/>
      <c r="D400" s="260"/>
      <c r="E400" s="260"/>
      <c r="F400" s="260"/>
      <c r="G400" s="260"/>
      <c r="H400" s="260"/>
      <c r="I400" s="260"/>
      <c r="J400" s="260"/>
      <c r="K400" s="260"/>
      <c r="L400" s="260"/>
      <c r="M400" s="260"/>
      <c r="N400" s="260"/>
      <c r="O400" s="260"/>
      <c r="P400" s="260"/>
      <c r="Q400" s="260"/>
      <c r="R400" s="65"/>
    </row>
    <row r="401" spans="1:18" ht="18.75" customHeight="1">
      <c r="A401" s="65"/>
      <c r="B401" s="65"/>
      <c r="C401" s="419"/>
      <c r="D401" s="260"/>
      <c r="E401" s="260"/>
      <c r="F401" s="260"/>
      <c r="G401" s="260"/>
      <c r="H401" s="260"/>
      <c r="I401" s="260"/>
      <c r="J401" s="260"/>
      <c r="K401" s="260"/>
      <c r="L401" s="260"/>
      <c r="M401" s="260"/>
      <c r="N401" s="260"/>
      <c r="O401" s="260"/>
      <c r="P401" s="260"/>
      <c r="Q401" s="260"/>
      <c r="R401" s="65"/>
    </row>
    <row r="402" spans="1:18" ht="215.25" customHeight="1">
      <c r="A402" s="65"/>
      <c r="B402" s="65"/>
      <c r="C402" s="419"/>
      <c r="D402" s="260"/>
      <c r="E402" s="260"/>
      <c r="F402" s="260"/>
      <c r="G402" s="260"/>
      <c r="H402" s="260"/>
      <c r="I402" s="260"/>
      <c r="J402" s="260"/>
      <c r="K402" s="260"/>
      <c r="L402" s="260"/>
      <c r="M402" s="260"/>
      <c r="N402" s="260"/>
      <c r="O402" s="260"/>
      <c r="P402" s="260"/>
      <c r="Q402" s="260"/>
      <c r="R402" s="65"/>
    </row>
    <row r="403" spans="1:18" ht="18.75" customHeight="1">
      <c r="A403" s="65"/>
      <c r="B403" s="65"/>
      <c r="C403" s="419"/>
      <c r="D403" s="260"/>
      <c r="E403" s="260"/>
      <c r="F403" s="260"/>
      <c r="G403" s="260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65"/>
    </row>
    <row r="404" spans="1:18" ht="55.5" customHeight="1">
      <c r="A404" s="65"/>
      <c r="B404" s="65"/>
      <c r="C404" s="419"/>
      <c r="D404" s="260"/>
      <c r="E404" s="260"/>
      <c r="F404" s="260"/>
      <c r="G404" s="260"/>
      <c r="H404" s="260"/>
      <c r="I404" s="260"/>
      <c r="J404" s="260"/>
      <c r="K404" s="260"/>
      <c r="L404" s="260"/>
      <c r="M404" s="260"/>
      <c r="N404" s="260"/>
      <c r="O404" s="260"/>
      <c r="P404" s="260"/>
      <c r="Q404" s="260"/>
      <c r="R404" s="65"/>
    </row>
    <row r="405" spans="1:18" ht="18.75" customHeight="1">
      <c r="A405" s="65"/>
      <c r="B405" s="65"/>
      <c r="C405" s="419"/>
      <c r="D405" s="260"/>
      <c r="E405" s="260"/>
      <c r="F405" s="260"/>
      <c r="G405" s="260"/>
      <c r="H405" s="260"/>
      <c r="I405" s="260"/>
      <c r="J405" s="260"/>
      <c r="K405" s="260"/>
      <c r="L405" s="260"/>
      <c r="M405" s="260"/>
      <c r="N405" s="260"/>
      <c r="O405" s="260"/>
      <c r="P405" s="260"/>
      <c r="Q405" s="260"/>
      <c r="R405" s="65"/>
    </row>
    <row r="406" spans="1:18" ht="18.75" customHeight="1">
      <c r="A406" s="65"/>
      <c r="B406" s="65"/>
      <c r="C406" s="419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65"/>
    </row>
    <row r="407" spans="1:18" ht="18.75" customHeight="1">
      <c r="A407" s="65"/>
      <c r="B407" s="65"/>
      <c r="C407" s="419"/>
      <c r="D407" s="260"/>
      <c r="E407" s="260"/>
      <c r="F407" s="260"/>
      <c r="G407" s="260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65"/>
    </row>
    <row r="408" spans="1:18" ht="18.75" customHeight="1">
      <c r="A408" s="65"/>
      <c r="B408" s="65"/>
      <c r="C408" s="419"/>
      <c r="D408" s="260"/>
      <c r="E408" s="260"/>
      <c r="F408" s="260"/>
      <c r="G408" s="260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65"/>
    </row>
    <row r="409" spans="1:18" ht="18.75" customHeight="1">
      <c r="A409" s="65"/>
      <c r="B409" s="65"/>
      <c r="C409" s="419"/>
      <c r="D409" s="260"/>
      <c r="E409" s="260"/>
      <c r="F409" s="260"/>
      <c r="G409" s="260"/>
      <c r="H409" s="260"/>
      <c r="I409" s="260"/>
      <c r="J409" s="260"/>
      <c r="K409" s="260"/>
      <c r="L409" s="260"/>
      <c r="M409" s="260"/>
      <c r="N409" s="260"/>
      <c r="O409" s="260"/>
      <c r="P409" s="260"/>
      <c r="Q409" s="260"/>
      <c r="R409" s="65"/>
    </row>
    <row r="410" spans="1:18" ht="53.25" customHeight="1">
      <c r="A410" s="576" t="s">
        <v>368</v>
      </c>
      <c r="B410" s="576"/>
      <c r="C410" s="576"/>
      <c r="D410" s="576"/>
      <c r="E410" s="576"/>
      <c r="F410" s="576"/>
      <c r="G410" s="576"/>
      <c r="H410" s="576"/>
      <c r="I410" s="576"/>
      <c r="J410" s="576"/>
      <c r="K410" s="576"/>
      <c r="L410" s="576"/>
      <c r="M410" s="576"/>
      <c r="N410" s="576"/>
      <c r="O410" s="576"/>
      <c r="P410" s="576"/>
      <c r="Q410" s="576"/>
      <c r="R410" s="576"/>
    </row>
    <row r="411" spans="1:18" ht="39.75" customHeight="1" hidden="1">
      <c r="A411" s="307"/>
      <c r="B411" s="307"/>
      <c r="C411" s="307"/>
      <c r="D411" s="307"/>
      <c r="E411" s="307"/>
      <c r="F411" s="307"/>
      <c r="G411" s="307"/>
      <c r="H411" s="307"/>
      <c r="I411" s="307"/>
      <c r="J411" s="307"/>
      <c r="K411" s="307"/>
      <c r="L411" s="307"/>
      <c r="M411" s="307"/>
      <c r="N411" s="307"/>
      <c r="O411" s="307"/>
      <c r="P411" s="307"/>
      <c r="Q411" s="307"/>
      <c r="R411" s="307"/>
    </row>
    <row r="412" spans="1:18" ht="38.25" hidden="1">
      <c r="A412" s="170"/>
      <c r="B412" s="65"/>
      <c r="C412" s="419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</row>
    <row r="413" spans="1:18" ht="37.5">
      <c r="A413" s="66">
        <v>1</v>
      </c>
      <c r="B413" s="67">
        <v>2</v>
      </c>
      <c r="C413" s="349">
        <v>3</v>
      </c>
      <c r="D413" s="67">
        <v>4</v>
      </c>
      <c r="E413" s="67">
        <v>5</v>
      </c>
      <c r="F413" s="67">
        <v>6</v>
      </c>
      <c r="G413" s="67">
        <v>7</v>
      </c>
      <c r="H413" s="67">
        <v>8</v>
      </c>
      <c r="I413" s="67">
        <v>9</v>
      </c>
      <c r="J413" s="67">
        <v>10</v>
      </c>
      <c r="K413" s="67">
        <v>11</v>
      </c>
      <c r="L413" s="67">
        <v>12</v>
      </c>
      <c r="M413" s="67">
        <v>13</v>
      </c>
      <c r="N413" s="67">
        <v>14</v>
      </c>
      <c r="O413" s="67">
        <v>15</v>
      </c>
      <c r="P413" s="67">
        <v>16</v>
      </c>
      <c r="Q413" s="67">
        <v>17</v>
      </c>
      <c r="R413" s="67">
        <v>18</v>
      </c>
    </row>
    <row r="414" spans="1:18" ht="114.75">
      <c r="A414" s="113">
        <v>1</v>
      </c>
      <c r="B414" s="69" t="s">
        <v>202</v>
      </c>
      <c r="C414" s="338">
        <v>1</v>
      </c>
      <c r="D414" s="70">
        <v>6567</v>
      </c>
      <c r="E414" s="71">
        <f>D414*0.2</f>
        <v>1313.4</v>
      </c>
      <c r="F414" s="71">
        <f>(D414+E414)*0.3</f>
        <v>2364.12</v>
      </c>
      <c r="G414" s="71"/>
      <c r="H414" s="71"/>
      <c r="I414" s="71"/>
      <c r="J414" s="71"/>
      <c r="K414" s="71">
        <f aca="true" t="shared" si="36" ref="K414:K426">SUM(D414:J414)</f>
        <v>10244.52</v>
      </c>
      <c r="L414" s="71"/>
      <c r="M414" s="71"/>
      <c r="N414" s="109">
        <f aca="true" t="shared" si="37" ref="N414:N423">K414*0.3</f>
        <v>3073.356</v>
      </c>
      <c r="O414" s="71"/>
      <c r="P414" s="71"/>
      <c r="Q414" s="48">
        <f aca="true" t="shared" si="38" ref="Q414:Q426">SUM(K414:P414)*C414</f>
        <v>13317.876</v>
      </c>
      <c r="R414" s="72">
        <v>13</v>
      </c>
    </row>
    <row r="415" spans="1:18" ht="76.5">
      <c r="A415" s="113">
        <v>2</v>
      </c>
      <c r="B415" s="69" t="s">
        <v>334</v>
      </c>
      <c r="C415" s="338">
        <v>0.5</v>
      </c>
      <c r="D415" s="70">
        <v>5699</v>
      </c>
      <c r="E415" s="71"/>
      <c r="F415" s="71">
        <f>(D415+E415)*0.2</f>
        <v>1139.8</v>
      </c>
      <c r="G415" s="71"/>
      <c r="H415" s="71"/>
      <c r="I415" s="71"/>
      <c r="J415" s="71"/>
      <c r="K415" s="71">
        <f t="shared" si="36"/>
        <v>6838.8</v>
      </c>
      <c r="L415" s="71"/>
      <c r="M415" s="71"/>
      <c r="N415" s="109">
        <f t="shared" si="37"/>
        <v>2051.64</v>
      </c>
      <c r="O415" s="71"/>
      <c r="P415" s="71"/>
      <c r="Q415" s="48">
        <f t="shared" si="38"/>
        <v>4445.22</v>
      </c>
      <c r="R415" s="72">
        <v>11</v>
      </c>
    </row>
    <row r="416" spans="1:18" ht="76.5">
      <c r="A416" s="113">
        <v>3</v>
      </c>
      <c r="B416" s="69" t="s">
        <v>334</v>
      </c>
      <c r="C416" s="338">
        <v>0.5</v>
      </c>
      <c r="D416" s="70">
        <v>5699</v>
      </c>
      <c r="E416" s="71"/>
      <c r="F416" s="71">
        <f>(D416+E416)*0.2</f>
        <v>1139.8</v>
      </c>
      <c r="G416" s="71"/>
      <c r="H416" s="71"/>
      <c r="I416" s="71"/>
      <c r="J416" s="71"/>
      <c r="K416" s="71">
        <f t="shared" si="36"/>
        <v>6838.8</v>
      </c>
      <c r="L416" s="71"/>
      <c r="M416" s="71"/>
      <c r="N416" s="109">
        <f>K416*0.1</f>
        <v>683.8800000000001</v>
      </c>
      <c r="O416" s="71"/>
      <c r="P416" s="71"/>
      <c r="Q416" s="48">
        <f t="shared" si="38"/>
        <v>3761.34</v>
      </c>
      <c r="R416" s="72">
        <v>11</v>
      </c>
    </row>
    <row r="417" spans="1:18" ht="38.25">
      <c r="A417" s="113">
        <v>4</v>
      </c>
      <c r="B417" s="69" t="s">
        <v>247</v>
      </c>
      <c r="C417" s="338">
        <v>1</v>
      </c>
      <c r="D417" s="70">
        <v>7001</v>
      </c>
      <c r="E417" s="71"/>
      <c r="F417" s="71">
        <f>(D417+E417)*0.2</f>
        <v>1400.2</v>
      </c>
      <c r="G417" s="71"/>
      <c r="H417" s="71"/>
      <c r="I417" s="71"/>
      <c r="J417" s="71"/>
      <c r="K417" s="71">
        <f t="shared" si="36"/>
        <v>8401.2</v>
      </c>
      <c r="L417" s="71"/>
      <c r="M417" s="71"/>
      <c r="N417" s="109">
        <f>K417*0.3</f>
        <v>2520.36</v>
      </c>
      <c r="O417" s="71"/>
      <c r="P417" s="71"/>
      <c r="Q417" s="48">
        <f>SUM(K417:P417)*C417</f>
        <v>10921.560000000001</v>
      </c>
      <c r="R417" s="72">
        <v>14</v>
      </c>
    </row>
    <row r="418" spans="1:18" ht="60" customHeight="1">
      <c r="A418" s="113">
        <v>5</v>
      </c>
      <c r="B418" s="69" t="s">
        <v>167</v>
      </c>
      <c r="C418" s="339">
        <v>1.75</v>
      </c>
      <c r="D418" s="70">
        <v>6567</v>
      </c>
      <c r="E418" s="71"/>
      <c r="F418" s="71">
        <f>(D418+E418)*0.2</f>
        <v>1313.4</v>
      </c>
      <c r="G418" s="71"/>
      <c r="H418" s="71"/>
      <c r="I418" s="71"/>
      <c r="J418" s="71"/>
      <c r="K418" s="71">
        <f t="shared" si="36"/>
        <v>7880.4</v>
      </c>
      <c r="L418" s="71"/>
      <c r="M418" s="71"/>
      <c r="N418" s="109">
        <f>K418*0.3</f>
        <v>2364.12</v>
      </c>
      <c r="O418" s="71"/>
      <c r="P418" s="71"/>
      <c r="Q418" s="48">
        <f t="shared" si="38"/>
        <v>17927.91</v>
      </c>
      <c r="R418" s="72">
        <v>13</v>
      </c>
    </row>
    <row r="419" spans="1:18" ht="60" customHeight="1">
      <c r="A419" s="113">
        <v>6</v>
      </c>
      <c r="B419" s="69" t="s">
        <v>335</v>
      </c>
      <c r="C419" s="338">
        <v>1</v>
      </c>
      <c r="D419" s="70">
        <v>5699</v>
      </c>
      <c r="E419" s="71"/>
      <c r="F419" s="71">
        <f>(D419+E419)*0.2</f>
        <v>1139.8</v>
      </c>
      <c r="G419" s="71"/>
      <c r="H419" s="71"/>
      <c r="I419" s="71"/>
      <c r="J419" s="71"/>
      <c r="K419" s="71">
        <f t="shared" si="36"/>
        <v>6838.8</v>
      </c>
      <c r="L419" s="71"/>
      <c r="M419" s="71"/>
      <c r="N419" s="109">
        <f>K419*0.1</f>
        <v>683.8800000000001</v>
      </c>
      <c r="O419" s="71"/>
      <c r="P419" s="71"/>
      <c r="Q419" s="48">
        <f t="shared" si="38"/>
        <v>7522.68</v>
      </c>
      <c r="R419" s="72">
        <v>11</v>
      </c>
    </row>
    <row r="420" spans="1:18" ht="76.5">
      <c r="A420" s="113">
        <v>7</v>
      </c>
      <c r="B420" s="69" t="s">
        <v>328</v>
      </c>
      <c r="C420" s="338">
        <v>1</v>
      </c>
      <c r="D420" s="71">
        <v>4195</v>
      </c>
      <c r="E420" s="71">
        <f>D420*0.1</f>
        <v>419.5</v>
      </c>
      <c r="F420" s="71"/>
      <c r="G420" s="71"/>
      <c r="H420" s="71"/>
      <c r="I420" s="71"/>
      <c r="J420" s="71"/>
      <c r="K420" s="71">
        <f t="shared" si="36"/>
        <v>4614.5</v>
      </c>
      <c r="L420" s="71"/>
      <c r="M420" s="71"/>
      <c r="N420" s="109">
        <f t="shared" si="37"/>
        <v>1384.35</v>
      </c>
      <c r="O420" s="71"/>
      <c r="P420" s="71"/>
      <c r="Q420" s="48">
        <f t="shared" si="38"/>
        <v>5998.85</v>
      </c>
      <c r="R420" s="72">
        <v>6</v>
      </c>
    </row>
    <row r="421" spans="1:18" ht="75.75" customHeight="1">
      <c r="A421" s="113">
        <v>8</v>
      </c>
      <c r="B421" s="69" t="s">
        <v>329</v>
      </c>
      <c r="C421" s="338">
        <v>0.5</v>
      </c>
      <c r="D421" s="71">
        <v>4195</v>
      </c>
      <c r="E421" s="71"/>
      <c r="F421" s="71"/>
      <c r="G421" s="71"/>
      <c r="H421" s="71"/>
      <c r="I421" s="71"/>
      <c r="J421" s="71"/>
      <c r="K421" s="71">
        <f t="shared" si="36"/>
        <v>4195</v>
      </c>
      <c r="L421" s="71"/>
      <c r="M421" s="71"/>
      <c r="N421" s="109">
        <f t="shared" si="37"/>
        <v>1258.5</v>
      </c>
      <c r="O421" s="71"/>
      <c r="P421" s="71"/>
      <c r="Q421" s="48">
        <f t="shared" si="38"/>
        <v>2726.75</v>
      </c>
      <c r="R421" s="72">
        <v>6</v>
      </c>
    </row>
    <row r="422" spans="1:18" ht="75.75" customHeight="1">
      <c r="A422" s="113">
        <v>9</v>
      </c>
      <c r="B422" s="69" t="s">
        <v>363</v>
      </c>
      <c r="C422" s="338">
        <v>0.5</v>
      </c>
      <c r="D422" s="71">
        <v>4455</v>
      </c>
      <c r="E422" s="71"/>
      <c r="F422" s="71"/>
      <c r="G422" s="71"/>
      <c r="H422" s="71"/>
      <c r="I422" s="71"/>
      <c r="J422" s="71"/>
      <c r="K422" s="71">
        <f t="shared" si="36"/>
        <v>4455</v>
      </c>
      <c r="L422" s="71"/>
      <c r="M422" s="71"/>
      <c r="N422" s="109">
        <f t="shared" si="37"/>
        <v>1336.5</v>
      </c>
      <c r="O422" s="71"/>
      <c r="P422" s="71"/>
      <c r="Q422" s="48">
        <f t="shared" si="38"/>
        <v>2895.75</v>
      </c>
      <c r="R422" s="72">
        <v>7</v>
      </c>
    </row>
    <row r="423" spans="1:18" ht="76.5">
      <c r="A423" s="113">
        <v>10</v>
      </c>
      <c r="B423" s="69" t="s">
        <v>112</v>
      </c>
      <c r="C423" s="338">
        <v>4.5</v>
      </c>
      <c r="D423" s="71">
        <v>5005</v>
      </c>
      <c r="E423" s="71"/>
      <c r="F423" s="71"/>
      <c r="G423" s="71"/>
      <c r="H423" s="71"/>
      <c r="I423" s="71"/>
      <c r="J423" s="71"/>
      <c r="K423" s="71">
        <f t="shared" si="36"/>
        <v>5005</v>
      </c>
      <c r="L423" s="71"/>
      <c r="M423" s="71"/>
      <c r="N423" s="109">
        <f t="shared" si="37"/>
        <v>1501.5</v>
      </c>
      <c r="O423" s="71"/>
      <c r="P423" s="71"/>
      <c r="Q423" s="48">
        <f t="shared" si="38"/>
        <v>29279.25</v>
      </c>
      <c r="R423" s="72">
        <v>9</v>
      </c>
    </row>
    <row r="424" spans="1:18" ht="76.5">
      <c r="A424" s="113">
        <v>11</v>
      </c>
      <c r="B424" s="69" t="s">
        <v>365</v>
      </c>
      <c r="C424" s="338">
        <v>0.5</v>
      </c>
      <c r="D424" s="71">
        <v>3674</v>
      </c>
      <c r="E424" s="71"/>
      <c r="F424" s="71"/>
      <c r="G424" s="71"/>
      <c r="H424" s="71"/>
      <c r="I424" s="71"/>
      <c r="J424" s="71"/>
      <c r="K424" s="71">
        <f t="shared" si="36"/>
        <v>3674</v>
      </c>
      <c r="L424" s="71"/>
      <c r="M424" s="71"/>
      <c r="N424" s="109"/>
      <c r="O424" s="71"/>
      <c r="P424" s="71">
        <f>K424*10%</f>
        <v>367.40000000000003</v>
      </c>
      <c r="Q424" s="48">
        <f t="shared" si="38"/>
        <v>2020.7</v>
      </c>
      <c r="R424" s="72">
        <v>4</v>
      </c>
    </row>
    <row r="425" spans="1:18" ht="76.5">
      <c r="A425" s="113">
        <v>12</v>
      </c>
      <c r="B425" s="69" t="s">
        <v>113</v>
      </c>
      <c r="C425" s="338">
        <v>4.5</v>
      </c>
      <c r="D425" s="71">
        <v>3674</v>
      </c>
      <c r="E425" s="71"/>
      <c r="F425" s="71"/>
      <c r="G425" s="71"/>
      <c r="H425" s="71"/>
      <c r="I425" s="71"/>
      <c r="J425" s="71"/>
      <c r="K425" s="71">
        <f t="shared" si="36"/>
        <v>3674</v>
      </c>
      <c r="L425" s="71"/>
      <c r="M425" s="71"/>
      <c r="N425" s="71"/>
      <c r="O425" s="71"/>
      <c r="P425" s="71">
        <f>K425*10%</f>
        <v>367.40000000000003</v>
      </c>
      <c r="Q425" s="48">
        <f t="shared" si="38"/>
        <v>18186.3</v>
      </c>
      <c r="R425" s="72">
        <v>4</v>
      </c>
    </row>
    <row r="426" spans="1:18" ht="52.5" customHeight="1">
      <c r="A426" s="113">
        <v>13</v>
      </c>
      <c r="B426" s="69" t="s">
        <v>40</v>
      </c>
      <c r="C426" s="339">
        <v>0.5</v>
      </c>
      <c r="D426" s="71">
        <v>3674</v>
      </c>
      <c r="E426" s="71"/>
      <c r="F426" s="71"/>
      <c r="G426" s="71"/>
      <c r="H426" s="71"/>
      <c r="I426" s="71"/>
      <c r="J426" s="71"/>
      <c r="K426" s="71">
        <f t="shared" si="36"/>
        <v>3674</v>
      </c>
      <c r="L426" s="71"/>
      <c r="M426" s="71"/>
      <c r="N426" s="71"/>
      <c r="O426" s="71"/>
      <c r="P426" s="71"/>
      <c r="Q426" s="48">
        <f t="shared" si="38"/>
        <v>1837</v>
      </c>
      <c r="R426" s="72">
        <v>4</v>
      </c>
    </row>
    <row r="427" spans="1:18" ht="76.5">
      <c r="A427" s="113">
        <v>14</v>
      </c>
      <c r="B427" s="69" t="s">
        <v>94</v>
      </c>
      <c r="C427" s="339">
        <v>0.5</v>
      </c>
      <c r="D427" s="71">
        <v>3414</v>
      </c>
      <c r="E427" s="71"/>
      <c r="F427" s="71"/>
      <c r="G427" s="71"/>
      <c r="H427" s="71"/>
      <c r="I427" s="71"/>
      <c r="J427" s="71"/>
      <c r="K427" s="71">
        <f>SUM(D427:J427)</f>
        <v>3414</v>
      </c>
      <c r="L427" s="71"/>
      <c r="M427" s="71"/>
      <c r="N427" s="71"/>
      <c r="O427" s="71"/>
      <c r="P427" s="71"/>
      <c r="Q427" s="48">
        <f>SUM(K427:P427)*C427</f>
        <v>1707</v>
      </c>
      <c r="R427" s="72">
        <v>3</v>
      </c>
    </row>
    <row r="428" spans="1:18" ht="45.75" customHeight="1" thickBot="1">
      <c r="A428" s="527" t="s">
        <v>18</v>
      </c>
      <c r="B428" s="528"/>
      <c r="C428" s="368">
        <f>C414+C415+C416+C418+C419+C417+C420+C423+C425+C426+C427+C421+C422+C424</f>
        <v>18.25</v>
      </c>
      <c r="D428" s="219"/>
      <c r="E428" s="219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73">
        <f>Q427+Q426+Q425+Q423+Q421+Q420+Q419+Q418+Q417+Q416+Q415+Q414+Q422+Q424</f>
        <v>122548.186</v>
      </c>
      <c r="R428" s="274"/>
    </row>
    <row r="429" spans="1:18" ht="27" customHeight="1">
      <c r="A429" s="222"/>
      <c r="B429" s="61"/>
      <c r="C429" s="378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75"/>
      <c r="R429" s="222"/>
    </row>
    <row r="430" spans="1:18" ht="35.25" customHeight="1">
      <c r="A430" s="222"/>
      <c r="B430" s="221" t="s">
        <v>65</v>
      </c>
      <c r="C430" s="348">
        <f>SUM(C414:C418)+C419</f>
        <v>5.75</v>
      </c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412">
        <f>SUM(Q414:Q418)+Q419</f>
        <v>57896.586</v>
      </c>
      <c r="R430" s="222"/>
    </row>
    <row r="431" spans="1:18" ht="37.5" customHeight="1">
      <c r="A431" s="222"/>
      <c r="B431" s="221" t="s">
        <v>66</v>
      </c>
      <c r="C431" s="348">
        <f>SUM(C420:C423)</f>
        <v>6.5</v>
      </c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412">
        <f>SUM(Q420:Q423)</f>
        <v>40900.6</v>
      </c>
      <c r="R431" s="222"/>
    </row>
    <row r="432" spans="1:18" ht="35.25" customHeight="1">
      <c r="A432" s="222"/>
      <c r="B432" s="221" t="s">
        <v>51</v>
      </c>
      <c r="C432" s="348">
        <f>C425+C427+C424</f>
        <v>5.5</v>
      </c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76">
        <f>Q425+Q427+Q424</f>
        <v>21914</v>
      </c>
      <c r="R432" s="222"/>
    </row>
    <row r="433" spans="1:18" ht="35.25" customHeight="1">
      <c r="A433" s="110"/>
      <c r="B433" s="102" t="s">
        <v>63</v>
      </c>
      <c r="C433" s="379">
        <f>C426</f>
        <v>0.5</v>
      </c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283">
        <f>Q426</f>
        <v>1837</v>
      </c>
      <c r="R433" s="111"/>
    </row>
    <row r="434" spans="1:18" ht="1.5" customHeight="1">
      <c r="A434" s="110"/>
      <c r="B434" s="111"/>
      <c r="C434" s="42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1:18" ht="39" customHeight="1">
      <c r="A435" s="111"/>
      <c r="B435" s="111"/>
      <c r="C435" s="420"/>
      <c r="D435" s="111"/>
      <c r="E435" s="111"/>
      <c r="F435" s="307" t="s">
        <v>102</v>
      </c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1:18" ht="6" customHeight="1" hidden="1">
      <c r="A436" s="116"/>
      <c r="B436" s="111"/>
      <c r="C436" s="42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1:18" ht="37.5">
      <c r="A437" s="133">
        <v>1</v>
      </c>
      <c r="B437" s="228">
        <v>2</v>
      </c>
      <c r="C437" s="380">
        <v>3</v>
      </c>
      <c r="D437" s="228">
        <v>4</v>
      </c>
      <c r="E437" s="228">
        <v>5</v>
      </c>
      <c r="F437" s="228">
        <v>6</v>
      </c>
      <c r="G437" s="228">
        <v>7</v>
      </c>
      <c r="H437" s="228">
        <v>8</v>
      </c>
      <c r="I437" s="228">
        <v>9</v>
      </c>
      <c r="J437" s="228">
        <v>10</v>
      </c>
      <c r="K437" s="228">
        <v>11</v>
      </c>
      <c r="L437" s="228">
        <v>12</v>
      </c>
      <c r="M437" s="228">
        <v>13</v>
      </c>
      <c r="N437" s="228">
        <v>14</v>
      </c>
      <c r="O437" s="228">
        <v>15</v>
      </c>
      <c r="P437" s="228">
        <v>16</v>
      </c>
      <c r="Q437" s="228">
        <v>17</v>
      </c>
      <c r="R437" s="228">
        <v>18</v>
      </c>
    </row>
    <row r="438" spans="1:18" ht="82.5" customHeight="1">
      <c r="A438" s="168">
        <v>1</v>
      </c>
      <c r="B438" s="277" t="s">
        <v>341</v>
      </c>
      <c r="C438" s="364">
        <v>1</v>
      </c>
      <c r="D438" s="89">
        <v>6567</v>
      </c>
      <c r="E438" s="89"/>
      <c r="F438" s="89"/>
      <c r="G438" s="89"/>
      <c r="H438" s="89"/>
      <c r="I438" s="89"/>
      <c r="J438" s="89"/>
      <c r="K438" s="85">
        <f>SUM(D438:J438)</f>
        <v>6567</v>
      </c>
      <c r="L438" s="89"/>
      <c r="M438" s="89"/>
      <c r="N438" s="89">
        <f>K438*0.2</f>
        <v>1313.4</v>
      </c>
      <c r="O438" s="89"/>
      <c r="P438" s="89"/>
      <c r="Q438" s="244">
        <f>SUM(K438:P438)*C438</f>
        <v>7880.4</v>
      </c>
      <c r="R438" s="49">
        <v>13</v>
      </c>
    </row>
    <row r="439" spans="1:18" ht="82.5" customHeight="1">
      <c r="A439" s="168">
        <v>2</v>
      </c>
      <c r="B439" s="457" t="s">
        <v>344</v>
      </c>
      <c r="C439" s="351">
        <v>0.5</v>
      </c>
      <c r="D439" s="279">
        <v>3414</v>
      </c>
      <c r="E439" s="280"/>
      <c r="F439" s="85"/>
      <c r="G439" s="85"/>
      <c r="H439" s="85"/>
      <c r="I439" s="85"/>
      <c r="J439" s="85"/>
      <c r="K439" s="85">
        <f>SUM(D439:J439)</f>
        <v>3414</v>
      </c>
      <c r="L439" s="85"/>
      <c r="M439" s="85"/>
      <c r="N439" s="85"/>
      <c r="O439" s="85"/>
      <c r="P439" s="85"/>
      <c r="Q439" s="244">
        <f>SUM(K439:P439)*C439</f>
        <v>1707</v>
      </c>
      <c r="R439" s="90">
        <v>3</v>
      </c>
    </row>
    <row r="440" spans="1:18" ht="38.25">
      <c r="A440" s="148">
        <v>3</v>
      </c>
      <c r="B440" s="278" t="s">
        <v>110</v>
      </c>
      <c r="C440" s="351">
        <v>0.5</v>
      </c>
      <c r="D440" s="279">
        <v>3414</v>
      </c>
      <c r="E440" s="280"/>
      <c r="F440" s="85"/>
      <c r="G440" s="85"/>
      <c r="H440" s="85"/>
      <c r="I440" s="85"/>
      <c r="J440" s="85"/>
      <c r="K440" s="85">
        <f>SUM(D440:J440)</f>
        <v>3414</v>
      </c>
      <c r="L440" s="85"/>
      <c r="M440" s="85"/>
      <c r="N440" s="85"/>
      <c r="O440" s="85"/>
      <c r="P440" s="85">
        <f>K440*10%</f>
        <v>341.40000000000003</v>
      </c>
      <c r="Q440" s="89">
        <f>SUM(K440:P440)*C440</f>
        <v>1877.7</v>
      </c>
      <c r="R440" s="90">
        <v>3</v>
      </c>
    </row>
    <row r="441" spans="1:18" ht="45.75" customHeight="1">
      <c r="A441" s="507" t="s">
        <v>18</v>
      </c>
      <c r="B441" s="508"/>
      <c r="C441" s="358">
        <f>SUM(C438:C440)</f>
        <v>2</v>
      </c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98">
        <f>SUM(Q438:Q440)</f>
        <v>11465.1</v>
      </c>
      <c r="R441" s="90"/>
    </row>
    <row r="442" spans="1:18" ht="29.25" customHeight="1">
      <c r="A442" s="111"/>
      <c r="B442" s="102" t="s">
        <v>54</v>
      </c>
      <c r="C442" s="381">
        <v>1</v>
      </c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160"/>
      <c r="Q442" s="282">
        <f>SUM(Q438:Q438)</f>
        <v>7880.4</v>
      </c>
      <c r="R442" s="111"/>
    </row>
    <row r="443" spans="1:18" ht="36.75" customHeight="1">
      <c r="A443" s="111"/>
      <c r="B443" s="102" t="s">
        <v>51</v>
      </c>
      <c r="C443" s="370">
        <f>0.5</f>
        <v>0.5</v>
      </c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160"/>
      <c r="Q443" s="283">
        <f>SUM(Q440)</f>
        <v>1877.7</v>
      </c>
      <c r="R443" s="111"/>
    </row>
    <row r="444" spans="1:18" ht="22.5" customHeight="1" hidden="1">
      <c r="A444" s="184"/>
      <c r="B444" s="102" t="s">
        <v>51</v>
      </c>
      <c r="C444" s="370">
        <f>0.5</f>
        <v>0.5</v>
      </c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283">
        <f aca="true" t="shared" si="39" ref="Q444:Q449">SUM(Q441)</f>
        <v>11465.1</v>
      </c>
      <c r="R444" s="184"/>
    </row>
    <row r="445" spans="1:18" ht="22.5" customHeight="1" hidden="1">
      <c r="A445" s="184"/>
      <c r="B445" s="102" t="s">
        <v>51</v>
      </c>
      <c r="C445" s="370">
        <f>0.5</f>
        <v>0.5</v>
      </c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283">
        <f t="shared" si="39"/>
        <v>7880.4</v>
      </c>
      <c r="R445" s="184"/>
    </row>
    <row r="446" spans="1:18" ht="22.5" customHeight="1" hidden="1">
      <c r="A446" s="184"/>
      <c r="B446" s="102" t="s">
        <v>51</v>
      </c>
      <c r="C446" s="370">
        <f>0.5</f>
        <v>0.5</v>
      </c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283">
        <f t="shared" si="39"/>
        <v>1877.7</v>
      </c>
      <c r="R446" s="184"/>
    </row>
    <row r="447" spans="1:18" ht="28.5" customHeight="1" hidden="1">
      <c r="A447" s="184"/>
      <c r="B447" s="102" t="s">
        <v>51</v>
      </c>
      <c r="C447" s="370">
        <f>0.5</f>
        <v>0.5</v>
      </c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283">
        <f t="shared" si="39"/>
        <v>11465.1</v>
      </c>
      <c r="R447" s="184"/>
    </row>
    <row r="448" spans="1:18" ht="31.5" customHeight="1">
      <c r="A448" s="306" t="s">
        <v>339</v>
      </c>
      <c r="B448" s="102" t="s">
        <v>63</v>
      </c>
      <c r="C448" s="370">
        <f>C439</f>
        <v>0.5</v>
      </c>
      <c r="D448" s="308"/>
      <c r="E448" s="308" t="s">
        <v>93</v>
      </c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283">
        <f>Q439</f>
        <v>1707</v>
      </c>
      <c r="R448" s="65"/>
    </row>
    <row r="449" spans="1:18" ht="38.25" hidden="1">
      <c r="A449" s="170"/>
      <c r="B449" s="65"/>
      <c r="C449" s="419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283">
        <f t="shared" si="39"/>
        <v>1877.7</v>
      </c>
      <c r="R449" s="65"/>
    </row>
    <row r="450" spans="1:18" ht="38.25">
      <c r="A450" s="170"/>
      <c r="B450" s="65"/>
      <c r="C450" s="419"/>
      <c r="D450" s="575" t="s">
        <v>359</v>
      </c>
      <c r="E450" s="575"/>
      <c r="F450" s="575"/>
      <c r="G450" s="575"/>
      <c r="H450" s="575"/>
      <c r="I450" s="575"/>
      <c r="J450" s="575"/>
      <c r="K450" s="575"/>
      <c r="L450" s="575"/>
      <c r="M450" s="575"/>
      <c r="N450" s="575"/>
      <c r="O450" s="575"/>
      <c r="P450" s="65"/>
      <c r="Q450" s="283"/>
      <c r="R450" s="65"/>
    </row>
    <row r="451" spans="1:18" ht="38.25">
      <c r="A451" s="148">
        <v>1</v>
      </c>
      <c r="B451" s="105" t="s">
        <v>196</v>
      </c>
      <c r="C451" s="357">
        <v>0.5</v>
      </c>
      <c r="D451" s="125">
        <v>5265</v>
      </c>
      <c r="E451" s="125"/>
      <c r="F451" s="125"/>
      <c r="G451" s="125"/>
      <c r="H451" s="125">
        <f>D451*0.15</f>
        <v>789.75</v>
      </c>
      <c r="I451" s="125"/>
      <c r="J451" s="125"/>
      <c r="K451" s="48">
        <f>SUM(D451:J451)</f>
        <v>6054.75</v>
      </c>
      <c r="L451" s="125"/>
      <c r="M451" s="125"/>
      <c r="N451" s="125">
        <f>K451*0.3</f>
        <v>1816.425</v>
      </c>
      <c r="O451" s="125"/>
      <c r="P451" s="218"/>
      <c r="Q451" s="48">
        <f>SUM(K451:P451)*C451</f>
        <v>3935.5875</v>
      </c>
      <c r="R451" s="81">
        <v>10</v>
      </c>
    </row>
    <row r="452" spans="1:18" ht="34.5" customHeight="1">
      <c r="A452" s="113">
        <v>2</v>
      </c>
      <c r="B452" s="98" t="s">
        <v>46</v>
      </c>
      <c r="C452" s="351">
        <v>0.5</v>
      </c>
      <c r="D452" s="85">
        <v>3414</v>
      </c>
      <c r="E452" s="85"/>
      <c r="F452" s="85"/>
      <c r="G452" s="85"/>
      <c r="H452" s="137">
        <f>D452*0.15</f>
        <v>512.1</v>
      </c>
      <c r="I452" s="85"/>
      <c r="J452" s="85"/>
      <c r="K452" s="85">
        <f>SUM(D452:J452)</f>
        <v>3926.1</v>
      </c>
      <c r="L452" s="85"/>
      <c r="M452" s="85"/>
      <c r="N452" s="85"/>
      <c r="O452" s="85"/>
      <c r="P452" s="114"/>
      <c r="Q452" s="89">
        <f>SUM(K452:P452)*C452</f>
        <v>1963.05</v>
      </c>
      <c r="R452" s="90">
        <v>3</v>
      </c>
    </row>
    <row r="453" spans="1:18" ht="34.5" customHeight="1">
      <c r="A453" s="507" t="s">
        <v>18</v>
      </c>
      <c r="B453" s="508"/>
      <c r="C453" s="358">
        <f>SUM(C451:C452)</f>
        <v>1</v>
      </c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98">
        <f>SUM(Q451:Q452)</f>
        <v>5898.6375</v>
      </c>
      <c r="R453" s="90"/>
    </row>
    <row r="454" spans="1:18" ht="41.25" customHeight="1">
      <c r="A454" s="110"/>
      <c r="B454" s="102" t="s">
        <v>65</v>
      </c>
      <c r="C454" s="370">
        <f>C451</f>
        <v>0.5</v>
      </c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0"/>
      <c r="Q454" s="283">
        <f>SUM(Q451)</f>
        <v>3935.5875</v>
      </c>
      <c r="R454" s="111"/>
    </row>
    <row r="455" spans="1:18" ht="29.25" customHeight="1">
      <c r="A455" s="110"/>
      <c r="B455" s="102" t="s">
        <v>51</v>
      </c>
      <c r="C455" s="370">
        <f>C452</f>
        <v>0.5</v>
      </c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205"/>
      <c r="Q455" s="283">
        <f>SUM(Q452)</f>
        <v>1963.05</v>
      </c>
      <c r="R455" s="111"/>
    </row>
    <row r="456" spans="1:18" ht="1.5" customHeight="1" hidden="1">
      <c r="A456" s="204"/>
      <c r="B456" s="65"/>
      <c r="C456" s="419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</row>
    <row r="457" spans="1:18" ht="1.5" customHeight="1" hidden="1">
      <c r="A457" s="204"/>
      <c r="B457" s="65"/>
      <c r="C457" s="419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</row>
    <row r="458" spans="1:18" ht="1.5" customHeight="1" hidden="1">
      <c r="A458" s="204"/>
      <c r="B458" s="65"/>
      <c r="C458" s="419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</row>
    <row r="459" spans="1:18" s="308" customFormat="1" ht="41.25" customHeight="1">
      <c r="A459" s="510" t="s">
        <v>148</v>
      </c>
      <c r="B459" s="510"/>
      <c r="C459" s="510"/>
      <c r="D459" s="510"/>
      <c r="E459" s="510"/>
      <c r="F459" s="510"/>
      <c r="G459" s="510"/>
      <c r="H459" s="510"/>
      <c r="I459" s="510"/>
      <c r="J459" s="510"/>
      <c r="K459" s="510"/>
      <c r="L459" s="510"/>
      <c r="M459" s="510"/>
      <c r="N459" s="510"/>
      <c r="O459" s="510"/>
      <c r="P459" s="510"/>
      <c r="Q459" s="510"/>
      <c r="R459" s="510"/>
    </row>
    <row r="460" spans="1:18" ht="81.75" customHeight="1">
      <c r="A460" s="148">
        <v>1</v>
      </c>
      <c r="B460" s="405" t="s">
        <v>290</v>
      </c>
      <c r="C460" s="357">
        <v>1</v>
      </c>
      <c r="D460" s="125">
        <v>6567</v>
      </c>
      <c r="E460" s="125">
        <f>D460*0.1</f>
        <v>656.7</v>
      </c>
      <c r="F460" s="125"/>
      <c r="G460" s="125"/>
      <c r="H460" s="125">
        <f>(D460+E460)*0.15</f>
        <v>1083.5549999999998</v>
      </c>
      <c r="I460" s="125"/>
      <c r="J460" s="125"/>
      <c r="K460" s="48">
        <f>SUM(D460:J460)</f>
        <v>8307.255</v>
      </c>
      <c r="L460" s="125"/>
      <c r="M460" s="125"/>
      <c r="N460" s="107">
        <f>K460*0.3</f>
        <v>2492.1764999999996</v>
      </c>
      <c r="O460" s="125"/>
      <c r="P460" s="218"/>
      <c r="Q460" s="48">
        <f>SUM(K460:P460)*C460</f>
        <v>10799.431499999999</v>
      </c>
      <c r="R460" s="81">
        <v>13</v>
      </c>
    </row>
    <row r="461" spans="1:18" ht="42" customHeight="1">
      <c r="A461" s="148">
        <v>2</v>
      </c>
      <c r="B461" s="406" t="s">
        <v>168</v>
      </c>
      <c r="C461" s="338">
        <v>2</v>
      </c>
      <c r="D461" s="71">
        <v>6567</v>
      </c>
      <c r="E461" s="71"/>
      <c r="F461" s="71"/>
      <c r="G461" s="71"/>
      <c r="H461" s="125">
        <f>D461*0.15</f>
        <v>985.05</v>
      </c>
      <c r="I461" s="71"/>
      <c r="J461" s="71"/>
      <c r="K461" s="71">
        <f>SUM(D461:J461)</f>
        <v>7552.05</v>
      </c>
      <c r="L461" s="71"/>
      <c r="M461" s="71"/>
      <c r="N461" s="107">
        <f>K461*0.3</f>
        <v>2265.615</v>
      </c>
      <c r="O461" s="71"/>
      <c r="P461" s="100"/>
      <c r="Q461" s="48">
        <f>SUM(K461:P461)*C461</f>
        <v>19635.33</v>
      </c>
      <c r="R461" s="72">
        <v>13</v>
      </c>
    </row>
    <row r="462" spans="1:18" ht="68.25" customHeight="1">
      <c r="A462" s="148">
        <v>3</v>
      </c>
      <c r="B462" s="404" t="s">
        <v>169</v>
      </c>
      <c r="C462" s="339">
        <v>3</v>
      </c>
      <c r="D462" s="70">
        <v>5265</v>
      </c>
      <c r="E462" s="71"/>
      <c r="F462" s="71"/>
      <c r="G462" s="71"/>
      <c r="H462" s="125">
        <f>D462*0.15</f>
        <v>789.75</v>
      </c>
      <c r="I462" s="71"/>
      <c r="J462" s="71"/>
      <c r="K462" s="71">
        <f>SUM(D462:J462)</f>
        <v>6054.75</v>
      </c>
      <c r="L462" s="71"/>
      <c r="M462" s="71"/>
      <c r="N462" s="107">
        <f>K462*0.3</f>
        <v>1816.425</v>
      </c>
      <c r="O462" s="71"/>
      <c r="P462" s="100"/>
      <c r="Q462" s="48">
        <f>SUM(K462:P462)*C462</f>
        <v>23613.525</v>
      </c>
      <c r="R462" s="72">
        <v>10</v>
      </c>
    </row>
    <row r="463" spans="1:18" ht="68.25" customHeight="1">
      <c r="A463" s="148">
        <v>4</v>
      </c>
      <c r="B463" s="404" t="s">
        <v>338</v>
      </c>
      <c r="C463" s="339">
        <v>1</v>
      </c>
      <c r="D463" s="70">
        <v>5005</v>
      </c>
      <c r="E463" s="71"/>
      <c r="F463" s="71"/>
      <c r="G463" s="71"/>
      <c r="H463" s="125">
        <f>D463*0.15</f>
        <v>750.75</v>
      </c>
      <c r="I463" s="71"/>
      <c r="J463" s="71"/>
      <c r="K463" s="71">
        <f>SUM(D463:J463)</f>
        <v>5755.75</v>
      </c>
      <c r="L463" s="71"/>
      <c r="M463" s="71"/>
      <c r="N463" s="107">
        <f>K463*0.2</f>
        <v>1151.15</v>
      </c>
      <c r="O463" s="71"/>
      <c r="P463" s="100"/>
      <c r="Q463" s="48">
        <f>SUM(K463:P463)*C463</f>
        <v>6906.9</v>
      </c>
      <c r="R463" s="72">
        <v>9</v>
      </c>
    </row>
    <row r="464" spans="1:18" ht="45.75" customHeight="1">
      <c r="A464" s="148">
        <v>5</v>
      </c>
      <c r="B464" s="403" t="s">
        <v>53</v>
      </c>
      <c r="C464" s="338">
        <v>2</v>
      </c>
      <c r="D464" s="71">
        <v>3414</v>
      </c>
      <c r="E464" s="71"/>
      <c r="F464" s="71"/>
      <c r="G464" s="71"/>
      <c r="H464" s="125">
        <f>D464*0.15</f>
        <v>512.1</v>
      </c>
      <c r="I464" s="71"/>
      <c r="J464" s="71"/>
      <c r="K464" s="71">
        <f>SUM(D464:J464)</f>
        <v>3926.1</v>
      </c>
      <c r="L464" s="71"/>
      <c r="M464" s="71"/>
      <c r="N464" s="71"/>
      <c r="O464" s="71"/>
      <c r="P464" s="100">
        <f>D464*10%</f>
        <v>341.40000000000003</v>
      </c>
      <c r="Q464" s="48">
        <f>SUM(K464:P464)*C464</f>
        <v>8535</v>
      </c>
      <c r="R464" s="72">
        <v>3</v>
      </c>
    </row>
    <row r="465" spans="1:18" ht="35.25" customHeight="1" thickBot="1">
      <c r="A465" s="529" t="s">
        <v>18</v>
      </c>
      <c r="B465" s="530"/>
      <c r="C465" s="342">
        <f>SUM(C460:C464)</f>
        <v>9</v>
      </c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20">
        <f>SUM(Q460:Q464)</f>
        <v>69490.18650000001</v>
      </c>
      <c r="R465" s="255"/>
    </row>
    <row r="466" spans="1:18" ht="44.25" customHeight="1">
      <c r="A466" s="284"/>
      <c r="B466" s="209" t="s">
        <v>65</v>
      </c>
      <c r="C466" s="341">
        <f>C460+C461</f>
        <v>3</v>
      </c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258">
        <f>Q460+Q461</f>
        <v>30434.7615</v>
      </c>
      <c r="R466" s="184"/>
    </row>
    <row r="467" spans="1:18" ht="36" customHeight="1">
      <c r="A467" s="284"/>
      <c r="B467" s="285" t="s">
        <v>66</v>
      </c>
      <c r="C467" s="348">
        <f>C462+C463</f>
        <v>4</v>
      </c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258">
        <f>Q462+Q463</f>
        <v>30520.425000000003</v>
      </c>
      <c r="R467" s="184"/>
    </row>
    <row r="468" spans="1:18" ht="39.75" customHeight="1">
      <c r="A468" s="284"/>
      <c r="B468" s="286" t="s">
        <v>51</v>
      </c>
      <c r="C468" s="341">
        <f>C464</f>
        <v>2</v>
      </c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258">
        <f>Q464</f>
        <v>8535</v>
      </c>
      <c r="R468" s="184"/>
    </row>
    <row r="469" spans="1:18" s="25" customFormat="1" ht="27" customHeight="1">
      <c r="A469" s="509" t="s">
        <v>143</v>
      </c>
      <c r="B469" s="509"/>
      <c r="C469" s="509"/>
      <c r="D469" s="509"/>
      <c r="E469" s="509"/>
      <c r="F469" s="509"/>
      <c r="G469" s="509"/>
      <c r="H469" s="509"/>
      <c r="I469" s="509"/>
      <c r="J469" s="509"/>
      <c r="K469" s="509"/>
      <c r="L469" s="509"/>
      <c r="M469" s="509"/>
      <c r="N469" s="509"/>
      <c r="O469" s="509"/>
      <c r="P469" s="509"/>
      <c r="Q469" s="509"/>
      <c r="R469" s="509"/>
    </row>
    <row r="470" spans="1:18" ht="37.5">
      <c r="A470" s="66">
        <v>1</v>
      </c>
      <c r="B470" s="67">
        <v>2</v>
      </c>
      <c r="C470" s="349">
        <v>3</v>
      </c>
      <c r="D470" s="67">
        <v>4</v>
      </c>
      <c r="E470" s="67">
        <v>5</v>
      </c>
      <c r="F470" s="67">
        <v>6</v>
      </c>
      <c r="G470" s="67">
        <v>7</v>
      </c>
      <c r="H470" s="67">
        <v>8</v>
      </c>
      <c r="I470" s="67">
        <v>9</v>
      </c>
      <c r="J470" s="67">
        <v>10</v>
      </c>
      <c r="K470" s="67">
        <v>11</v>
      </c>
      <c r="L470" s="67">
        <v>12</v>
      </c>
      <c r="M470" s="67">
        <v>13</v>
      </c>
      <c r="N470" s="67">
        <v>14</v>
      </c>
      <c r="O470" s="67">
        <v>15</v>
      </c>
      <c r="P470" s="67">
        <v>16</v>
      </c>
      <c r="Q470" s="67">
        <v>17</v>
      </c>
      <c r="R470" s="67">
        <v>18</v>
      </c>
    </row>
    <row r="471" spans="1:18" ht="64.5" customHeight="1">
      <c r="A471" s="113">
        <v>1</v>
      </c>
      <c r="B471" s="411" t="s">
        <v>291</v>
      </c>
      <c r="C471" s="351">
        <v>1</v>
      </c>
      <c r="D471" s="85">
        <v>6567</v>
      </c>
      <c r="E471" s="85"/>
      <c r="F471" s="85"/>
      <c r="G471" s="85"/>
      <c r="H471" s="85"/>
      <c r="I471" s="85"/>
      <c r="J471" s="85"/>
      <c r="K471" s="85">
        <f>SUM(D471:J471)</f>
        <v>6567</v>
      </c>
      <c r="L471" s="85"/>
      <c r="M471" s="85"/>
      <c r="N471" s="85">
        <f>K471*0.3</f>
        <v>1970.1</v>
      </c>
      <c r="O471" s="85"/>
      <c r="P471" s="114"/>
      <c r="Q471" s="89">
        <f>SUM(K471:P471)*C471</f>
        <v>8537.1</v>
      </c>
      <c r="R471" s="90">
        <v>13</v>
      </c>
    </row>
    <row r="472" spans="1:18" ht="97.5" customHeight="1">
      <c r="A472" s="148">
        <v>2</v>
      </c>
      <c r="B472" s="411" t="s">
        <v>193</v>
      </c>
      <c r="C472" s="351">
        <v>1</v>
      </c>
      <c r="D472" s="85">
        <v>5005</v>
      </c>
      <c r="E472" s="287"/>
      <c r="F472" s="287"/>
      <c r="G472" s="287"/>
      <c r="H472" s="287"/>
      <c r="I472" s="287"/>
      <c r="J472" s="287"/>
      <c r="K472" s="85">
        <f>SUM(D472:J472)</f>
        <v>5005</v>
      </c>
      <c r="L472" s="287"/>
      <c r="M472" s="287"/>
      <c r="N472" s="85">
        <f>K472*0.3</f>
        <v>1501.5</v>
      </c>
      <c r="O472" s="287"/>
      <c r="P472" s="288"/>
      <c r="Q472" s="244">
        <f>SUM(K472:P472)*C472</f>
        <v>6506.5</v>
      </c>
      <c r="R472" s="289">
        <v>9</v>
      </c>
    </row>
    <row r="473" spans="1:18" ht="48" customHeight="1" thickBot="1">
      <c r="A473" s="527" t="s">
        <v>18</v>
      </c>
      <c r="B473" s="528"/>
      <c r="C473" s="377">
        <f>C471+C472</f>
        <v>2</v>
      </c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20">
        <f>Q471+Q472</f>
        <v>15043.6</v>
      </c>
      <c r="R473" s="274"/>
    </row>
    <row r="474" spans="1:18" ht="36" customHeight="1">
      <c r="A474" s="222"/>
      <c r="B474" s="221" t="s">
        <v>65</v>
      </c>
      <c r="C474" s="341">
        <f>C471</f>
        <v>1</v>
      </c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91">
        <f>Q471</f>
        <v>8537.1</v>
      </c>
      <c r="R474" s="222"/>
    </row>
    <row r="475" spans="1:18" ht="36" customHeight="1">
      <c r="A475" s="222"/>
      <c r="B475" s="221" t="s">
        <v>66</v>
      </c>
      <c r="C475" s="341">
        <f>C472</f>
        <v>1</v>
      </c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92">
        <f>Q472</f>
        <v>6506.5</v>
      </c>
      <c r="R475" s="222"/>
    </row>
    <row r="476" spans="1:18" s="308" customFormat="1" ht="39" customHeight="1">
      <c r="A476" s="510" t="s">
        <v>103</v>
      </c>
      <c r="B476" s="510"/>
      <c r="C476" s="510"/>
      <c r="D476" s="510"/>
      <c r="E476" s="510"/>
      <c r="F476" s="510"/>
      <c r="G476" s="510"/>
      <c r="H476" s="510"/>
      <c r="I476" s="510"/>
      <c r="J476" s="510"/>
      <c r="K476" s="510"/>
      <c r="L476" s="510"/>
      <c r="M476" s="510"/>
      <c r="N476" s="510"/>
      <c r="O476" s="510"/>
      <c r="P476" s="510"/>
      <c r="Q476" s="510"/>
      <c r="R476" s="510"/>
    </row>
    <row r="477" spans="1:18" ht="37.5">
      <c r="A477" s="66">
        <v>1</v>
      </c>
      <c r="B477" s="67">
        <v>2</v>
      </c>
      <c r="C477" s="349">
        <v>3</v>
      </c>
      <c r="D477" s="67">
        <v>4</v>
      </c>
      <c r="E477" s="67">
        <v>5</v>
      </c>
      <c r="F477" s="67">
        <v>6</v>
      </c>
      <c r="G477" s="67">
        <v>7</v>
      </c>
      <c r="H477" s="67">
        <v>8</v>
      </c>
      <c r="I477" s="67">
        <v>9</v>
      </c>
      <c r="J477" s="67">
        <v>10</v>
      </c>
      <c r="K477" s="67">
        <v>11</v>
      </c>
      <c r="L477" s="67">
        <v>12</v>
      </c>
      <c r="M477" s="67">
        <v>13</v>
      </c>
      <c r="N477" s="67">
        <v>14</v>
      </c>
      <c r="O477" s="67">
        <v>15</v>
      </c>
      <c r="P477" s="67">
        <v>16</v>
      </c>
      <c r="Q477" s="67">
        <v>17</v>
      </c>
      <c r="R477" s="67">
        <v>18</v>
      </c>
    </row>
    <row r="478" spans="1:18" ht="79.5" customHeight="1">
      <c r="A478" s="113">
        <v>1</v>
      </c>
      <c r="B478" s="403" t="s">
        <v>292</v>
      </c>
      <c r="C478" s="338">
        <v>1</v>
      </c>
      <c r="D478" s="71">
        <v>6133</v>
      </c>
      <c r="E478" s="109">
        <f>D478*0.1</f>
        <v>613.3000000000001</v>
      </c>
      <c r="F478" s="71"/>
      <c r="G478" s="71"/>
      <c r="H478" s="71">
        <f>(D478+E478)*0.15</f>
        <v>1011.9449999999999</v>
      </c>
      <c r="I478" s="71"/>
      <c r="J478" s="71"/>
      <c r="K478" s="71">
        <f aca="true" t="shared" si="40" ref="K478:K484">SUM(D478:J478)</f>
        <v>7758.245</v>
      </c>
      <c r="L478" s="71"/>
      <c r="M478" s="71"/>
      <c r="N478" s="71">
        <f>K478*0.2</f>
        <v>1551.6490000000001</v>
      </c>
      <c r="O478" s="100"/>
      <c r="P478" s="100"/>
      <c r="Q478" s="48">
        <f aca="true" t="shared" si="41" ref="Q478:Q484">SUM(K478:P478)*C478</f>
        <v>9309.894</v>
      </c>
      <c r="R478" s="72">
        <v>12</v>
      </c>
    </row>
    <row r="479" spans="1:18" ht="99" customHeight="1">
      <c r="A479" s="113">
        <v>2</v>
      </c>
      <c r="B479" s="403" t="s">
        <v>170</v>
      </c>
      <c r="C479" s="338">
        <v>1</v>
      </c>
      <c r="D479" s="71">
        <v>5265</v>
      </c>
      <c r="E479" s="71"/>
      <c r="F479" s="71"/>
      <c r="G479" s="71"/>
      <c r="H479" s="71">
        <f aca="true" t="shared" si="42" ref="H479:H484">D479*0.15</f>
        <v>789.75</v>
      </c>
      <c r="I479" s="71"/>
      <c r="J479" s="71"/>
      <c r="K479" s="71">
        <f t="shared" si="40"/>
        <v>6054.75</v>
      </c>
      <c r="L479" s="71"/>
      <c r="M479" s="71"/>
      <c r="N479" s="71">
        <f>K479*0.1</f>
        <v>605.475</v>
      </c>
      <c r="O479" s="100"/>
      <c r="P479" s="100"/>
      <c r="Q479" s="48">
        <f t="shared" si="41"/>
        <v>6660.225</v>
      </c>
      <c r="R479" s="72">
        <v>10</v>
      </c>
    </row>
    <row r="480" spans="1:18" ht="42.75" customHeight="1">
      <c r="A480" s="113">
        <v>3</v>
      </c>
      <c r="B480" s="403" t="s">
        <v>333</v>
      </c>
      <c r="C480" s="338">
        <v>0.5</v>
      </c>
      <c r="D480" s="71">
        <v>6133</v>
      </c>
      <c r="E480" s="71"/>
      <c r="F480" s="71"/>
      <c r="G480" s="71"/>
      <c r="H480" s="71">
        <f t="shared" si="42"/>
        <v>919.9499999999999</v>
      </c>
      <c r="I480" s="71"/>
      <c r="J480" s="71"/>
      <c r="K480" s="71">
        <f t="shared" si="40"/>
        <v>7052.95</v>
      </c>
      <c r="L480" s="71"/>
      <c r="M480" s="71"/>
      <c r="N480" s="71">
        <f>K480*0.2</f>
        <v>1410.5900000000001</v>
      </c>
      <c r="O480" s="100"/>
      <c r="P480" s="100"/>
      <c r="Q480" s="48">
        <f t="shared" si="41"/>
        <v>4231.77</v>
      </c>
      <c r="R480" s="72">
        <v>12</v>
      </c>
    </row>
    <row r="481" spans="1:18" ht="39.75" customHeight="1">
      <c r="A481" s="113">
        <v>4</v>
      </c>
      <c r="B481" s="403" t="s">
        <v>171</v>
      </c>
      <c r="C481" s="338">
        <v>3</v>
      </c>
      <c r="D481" s="71">
        <v>5005</v>
      </c>
      <c r="E481" s="71"/>
      <c r="F481" s="71"/>
      <c r="G481" s="71"/>
      <c r="H481" s="71">
        <f t="shared" si="42"/>
        <v>750.75</v>
      </c>
      <c r="I481" s="71"/>
      <c r="J481" s="71"/>
      <c r="K481" s="71">
        <f t="shared" si="40"/>
        <v>5755.75</v>
      </c>
      <c r="L481" s="71"/>
      <c r="M481" s="71"/>
      <c r="N481" s="71">
        <f>K481*0.3</f>
        <v>1726.725</v>
      </c>
      <c r="O481" s="100"/>
      <c r="P481" s="100"/>
      <c r="Q481" s="48">
        <f t="shared" si="41"/>
        <v>22447.425000000003</v>
      </c>
      <c r="R481" s="72">
        <v>9</v>
      </c>
    </row>
    <row r="482" spans="1:18" ht="42" customHeight="1">
      <c r="A482" s="113">
        <v>5</v>
      </c>
      <c r="B482" s="403" t="s">
        <v>190</v>
      </c>
      <c r="C482" s="338">
        <v>1</v>
      </c>
      <c r="D482" s="71">
        <v>4455</v>
      </c>
      <c r="E482" s="71"/>
      <c r="F482" s="71"/>
      <c r="G482" s="71"/>
      <c r="H482" s="71">
        <f t="shared" si="42"/>
        <v>668.25</v>
      </c>
      <c r="I482" s="71"/>
      <c r="J482" s="71"/>
      <c r="K482" s="71">
        <f t="shared" si="40"/>
        <v>5123.25</v>
      </c>
      <c r="L482" s="71"/>
      <c r="M482" s="71"/>
      <c r="N482" s="71">
        <f>K482*0.3</f>
        <v>1536.975</v>
      </c>
      <c r="O482" s="100"/>
      <c r="P482" s="100"/>
      <c r="Q482" s="293">
        <f>SUM(K482:P482)*C482</f>
        <v>6660.225</v>
      </c>
      <c r="R482" s="72">
        <v>7</v>
      </c>
    </row>
    <row r="483" spans="1:18" ht="42" customHeight="1">
      <c r="A483" s="113">
        <v>6</v>
      </c>
      <c r="B483" s="403" t="s">
        <v>248</v>
      </c>
      <c r="C483" s="338">
        <v>1.5</v>
      </c>
      <c r="D483" s="71">
        <v>4195</v>
      </c>
      <c r="E483" s="71"/>
      <c r="F483" s="71"/>
      <c r="G483" s="71"/>
      <c r="H483" s="71">
        <f t="shared" si="42"/>
        <v>629.25</v>
      </c>
      <c r="I483" s="71"/>
      <c r="J483" s="71"/>
      <c r="K483" s="71">
        <f t="shared" si="40"/>
        <v>4824.25</v>
      </c>
      <c r="L483" s="71"/>
      <c r="M483" s="71"/>
      <c r="N483" s="71">
        <f>K483*0.2</f>
        <v>964.85</v>
      </c>
      <c r="O483" s="100"/>
      <c r="P483" s="100"/>
      <c r="Q483" s="293">
        <f>SUM(K483:P483)*C483</f>
        <v>8683.650000000001</v>
      </c>
      <c r="R483" s="72">
        <v>6</v>
      </c>
    </row>
    <row r="484" spans="1:18" ht="30" customHeight="1">
      <c r="A484" s="113">
        <v>7</v>
      </c>
      <c r="B484" s="403" t="s">
        <v>46</v>
      </c>
      <c r="C484" s="351">
        <v>1</v>
      </c>
      <c r="D484" s="85">
        <v>3414</v>
      </c>
      <c r="E484" s="85"/>
      <c r="F484" s="85"/>
      <c r="G484" s="85"/>
      <c r="H484" s="71">
        <f t="shared" si="42"/>
        <v>512.1</v>
      </c>
      <c r="I484" s="85"/>
      <c r="J484" s="85"/>
      <c r="K484" s="85">
        <f t="shared" si="40"/>
        <v>3926.1</v>
      </c>
      <c r="L484" s="85"/>
      <c r="M484" s="85"/>
      <c r="N484" s="85"/>
      <c r="O484" s="114"/>
      <c r="P484" s="114">
        <f>D484*10%</f>
        <v>341.40000000000003</v>
      </c>
      <c r="Q484" s="89">
        <f t="shared" si="41"/>
        <v>4267.5</v>
      </c>
      <c r="R484" s="72">
        <v>3</v>
      </c>
    </row>
    <row r="485" spans="1:18" ht="36" customHeight="1">
      <c r="A485" s="507" t="s">
        <v>18</v>
      </c>
      <c r="B485" s="508"/>
      <c r="C485" s="340">
        <f>SUM(C478:C484)</f>
        <v>9</v>
      </c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114"/>
      <c r="P485" s="114"/>
      <c r="Q485" s="294">
        <f>Q478+Q479+Q480+Q481+Q482+Q484+Q483</f>
        <v>62260.689000000006</v>
      </c>
      <c r="R485" s="72"/>
    </row>
    <row r="486" spans="1:18" ht="20.25" customHeight="1">
      <c r="A486" s="229"/>
      <c r="B486" s="229"/>
      <c r="C486" s="348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58"/>
      <c r="R486" s="184"/>
    </row>
    <row r="487" spans="1:18" ht="27.75" customHeight="1">
      <c r="A487" s="229"/>
      <c r="B487" s="295" t="s">
        <v>65</v>
      </c>
      <c r="C487" s="341">
        <v>2.5</v>
      </c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76">
        <f>Q478+Q479+Q480</f>
        <v>20201.889000000003</v>
      </c>
      <c r="R487" s="184"/>
    </row>
    <row r="488" spans="1:18" ht="35.25" customHeight="1">
      <c r="A488" s="229"/>
      <c r="B488" s="295" t="s">
        <v>66</v>
      </c>
      <c r="C488" s="341">
        <f>C481+C482+C483</f>
        <v>5.5</v>
      </c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76">
        <f>Q481+Q482+Q483</f>
        <v>37791.3</v>
      </c>
      <c r="R488" s="184"/>
    </row>
    <row r="489" spans="1:18" ht="35.25" customHeight="1">
      <c r="A489" s="229"/>
      <c r="B489" s="295" t="s">
        <v>51</v>
      </c>
      <c r="C489" s="341">
        <f>C484</f>
        <v>1</v>
      </c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76">
        <f>Q484</f>
        <v>4267.5</v>
      </c>
      <c r="R489" s="184"/>
    </row>
    <row r="490" spans="1:18" ht="3" customHeight="1">
      <c r="A490" s="110"/>
      <c r="B490" s="111"/>
      <c r="C490" s="42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65"/>
    </row>
    <row r="491" spans="1:18" ht="45.75" customHeight="1" hidden="1">
      <c r="A491" s="111"/>
      <c r="B491" s="111"/>
      <c r="C491" s="420"/>
      <c r="D491" s="110"/>
      <c r="E491" s="111"/>
      <c r="F491" s="110"/>
      <c r="G491" s="111"/>
      <c r="H491" s="111"/>
      <c r="I491" s="111"/>
      <c r="J491" s="111"/>
      <c r="K491" s="111"/>
      <c r="L491" s="111"/>
      <c r="M491" s="111"/>
      <c r="N491" s="111"/>
      <c r="O491" s="111"/>
      <c r="P491" s="110"/>
      <c r="Q491" s="110"/>
      <c r="R491" s="65"/>
    </row>
    <row r="492" spans="1:18" ht="45.75" customHeight="1" hidden="1">
      <c r="A492" s="111"/>
      <c r="B492" s="102"/>
      <c r="C492" s="379"/>
      <c r="D492" s="110"/>
      <c r="E492" s="111"/>
      <c r="F492" s="110"/>
      <c r="G492" s="111"/>
      <c r="H492" s="111"/>
      <c r="I492" s="111"/>
      <c r="J492" s="111"/>
      <c r="K492" s="111"/>
      <c r="L492" s="111"/>
      <c r="M492" s="111"/>
      <c r="N492" s="111"/>
      <c r="O492" s="111"/>
      <c r="P492" s="110"/>
      <c r="Q492" s="296"/>
      <c r="R492" s="65"/>
    </row>
    <row r="493" spans="1:18" ht="45.75" customHeight="1" hidden="1">
      <c r="A493" s="111"/>
      <c r="B493" s="102"/>
      <c r="C493" s="433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297"/>
      <c r="R493" s="65"/>
    </row>
    <row r="494" spans="1:18" ht="45.75" customHeight="1" hidden="1">
      <c r="A494" s="111"/>
      <c r="B494" s="102"/>
      <c r="C494" s="433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98"/>
      <c r="R494" s="65"/>
    </row>
    <row r="495" spans="1:18" ht="45.75" customHeight="1" hidden="1">
      <c r="A495" s="111"/>
      <c r="B495" s="102"/>
      <c r="C495" s="379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1"/>
      <c r="R495" s="65"/>
    </row>
    <row r="496" spans="1:18" ht="45.75" customHeight="1" hidden="1">
      <c r="A496" s="205"/>
      <c r="B496" s="102"/>
      <c r="C496" s="370"/>
      <c r="D496" s="259"/>
      <c r="E496" s="259"/>
      <c r="F496" s="259"/>
      <c r="G496" s="259"/>
      <c r="H496" s="259"/>
      <c r="I496" s="259"/>
      <c r="J496" s="259"/>
      <c r="K496" s="259"/>
      <c r="L496" s="259"/>
      <c r="M496" s="259"/>
      <c r="N496" s="259"/>
      <c r="O496" s="259"/>
      <c r="P496" s="259"/>
      <c r="Q496" s="259"/>
      <c r="R496" s="65"/>
    </row>
    <row r="497" spans="1:18" ht="45.75" customHeight="1" hidden="1">
      <c r="A497" s="205"/>
      <c r="B497" s="102"/>
      <c r="C497" s="37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60"/>
      <c r="R497" s="65"/>
    </row>
    <row r="498" spans="1:18" ht="45.75" customHeight="1">
      <c r="A498" s="502" t="s">
        <v>345</v>
      </c>
      <c r="B498" s="503"/>
      <c r="C498" s="503"/>
      <c r="D498" s="503"/>
      <c r="E498" s="503"/>
      <c r="F498" s="503"/>
      <c r="G498" s="503"/>
      <c r="H498" s="503"/>
      <c r="I498" s="503"/>
      <c r="J498" s="503"/>
      <c r="K498" s="503"/>
      <c r="L498" s="503"/>
      <c r="M498" s="503"/>
      <c r="N498" s="503"/>
      <c r="O498" s="503"/>
      <c r="P498" s="503"/>
      <c r="Q498" s="503"/>
      <c r="R498" s="503"/>
    </row>
    <row r="499" spans="1:18" ht="45.75" customHeight="1">
      <c r="A499" s="66">
        <v>1</v>
      </c>
      <c r="B499" s="67">
        <v>2</v>
      </c>
      <c r="C499" s="349">
        <v>3</v>
      </c>
      <c r="D499" s="67">
        <v>4</v>
      </c>
      <c r="E499" s="67">
        <v>5</v>
      </c>
      <c r="F499" s="67">
        <v>6</v>
      </c>
      <c r="G499" s="67">
        <v>7</v>
      </c>
      <c r="H499" s="67">
        <v>8</v>
      </c>
      <c r="I499" s="67">
        <v>9</v>
      </c>
      <c r="J499" s="67">
        <v>10</v>
      </c>
      <c r="K499" s="67">
        <v>11</v>
      </c>
      <c r="L499" s="67">
        <v>12</v>
      </c>
      <c r="M499" s="67">
        <v>13</v>
      </c>
      <c r="N499" s="67">
        <v>14</v>
      </c>
      <c r="O499" s="67">
        <v>15</v>
      </c>
      <c r="P499" s="67">
        <v>16</v>
      </c>
      <c r="Q499" s="67">
        <v>17</v>
      </c>
      <c r="R499" s="67">
        <v>18</v>
      </c>
    </row>
    <row r="500" spans="1:18" ht="123" customHeight="1">
      <c r="A500" s="53">
        <v>1</v>
      </c>
      <c r="B500" s="448" t="s">
        <v>351</v>
      </c>
      <c r="C500" s="364">
        <v>1</v>
      </c>
      <c r="D500" s="89">
        <v>6567</v>
      </c>
      <c r="E500" s="49">
        <f>D500*20%</f>
        <v>1313.4</v>
      </c>
      <c r="F500" s="49"/>
      <c r="G500" s="49"/>
      <c r="H500" s="49"/>
      <c r="I500" s="49"/>
      <c r="J500" s="49"/>
      <c r="K500" s="89">
        <f>D500+E500+F500+G500+H500+I500+J500</f>
        <v>7880.4</v>
      </c>
      <c r="L500" s="49"/>
      <c r="M500" s="49"/>
      <c r="N500" s="49">
        <f>K500*30%</f>
        <v>2364.12</v>
      </c>
      <c r="O500" s="49"/>
      <c r="P500" s="49"/>
      <c r="Q500" s="459">
        <f>(K500+L500+M500+N500+P500)*C500</f>
        <v>10244.52</v>
      </c>
      <c r="R500" s="56">
        <v>13</v>
      </c>
    </row>
    <row r="501" spans="1:18" ht="69.75" customHeight="1">
      <c r="A501" s="53">
        <v>2</v>
      </c>
      <c r="B501" s="448" t="s">
        <v>352</v>
      </c>
      <c r="C501" s="460">
        <v>5</v>
      </c>
      <c r="D501" s="89">
        <v>6567</v>
      </c>
      <c r="E501" s="49"/>
      <c r="F501" s="49"/>
      <c r="G501" s="49"/>
      <c r="H501" s="49"/>
      <c r="I501" s="49"/>
      <c r="J501" s="49"/>
      <c r="K501" s="89">
        <f aca="true" t="shared" si="43" ref="K501:K506">D501+E501+F501+G501+H501+I501+J501</f>
        <v>6567</v>
      </c>
      <c r="L501" s="49"/>
      <c r="M501" s="49"/>
      <c r="N501" s="49">
        <f>K501*20%</f>
        <v>1313.4</v>
      </c>
      <c r="O501" s="49"/>
      <c r="P501" s="49"/>
      <c r="Q501" s="459">
        <f aca="true" t="shared" si="44" ref="Q501:Q506">(K501+L501+M501+N501+P501)*C501</f>
        <v>39402</v>
      </c>
      <c r="R501" s="56">
        <v>13</v>
      </c>
    </row>
    <row r="502" spans="1:18" ht="117" customHeight="1">
      <c r="A502" s="53">
        <v>3</v>
      </c>
      <c r="B502" s="448" t="s">
        <v>346</v>
      </c>
      <c r="C502" s="460">
        <v>1</v>
      </c>
      <c r="D502" s="89">
        <v>5265</v>
      </c>
      <c r="E502" s="49"/>
      <c r="F502" s="49"/>
      <c r="G502" s="49"/>
      <c r="H502" s="49"/>
      <c r="I502" s="49"/>
      <c r="J502" s="49"/>
      <c r="K502" s="89">
        <f t="shared" si="43"/>
        <v>5265</v>
      </c>
      <c r="L502" s="49"/>
      <c r="M502" s="49"/>
      <c r="N502" s="49">
        <f>K502*30%</f>
        <v>1579.5</v>
      </c>
      <c r="O502" s="49"/>
      <c r="P502" s="49"/>
      <c r="Q502" s="459">
        <f t="shared" si="44"/>
        <v>6844.5</v>
      </c>
      <c r="R502" s="56">
        <v>10</v>
      </c>
    </row>
    <row r="503" spans="1:18" ht="120.75" customHeight="1">
      <c r="A503" s="53">
        <v>4</v>
      </c>
      <c r="B503" s="448" t="s">
        <v>347</v>
      </c>
      <c r="C503" s="460">
        <v>1</v>
      </c>
      <c r="D503" s="89">
        <v>5265</v>
      </c>
      <c r="E503" s="49"/>
      <c r="F503" s="49"/>
      <c r="G503" s="49"/>
      <c r="H503" s="49"/>
      <c r="I503" s="49"/>
      <c r="J503" s="49"/>
      <c r="K503" s="89">
        <f t="shared" si="43"/>
        <v>5265</v>
      </c>
      <c r="L503" s="49"/>
      <c r="M503" s="49"/>
      <c r="N503" s="49">
        <f>K503*30%</f>
        <v>1579.5</v>
      </c>
      <c r="O503" s="49"/>
      <c r="P503" s="49"/>
      <c r="Q503" s="459">
        <f t="shared" si="44"/>
        <v>6844.5</v>
      </c>
      <c r="R503" s="56">
        <v>10</v>
      </c>
    </row>
    <row r="504" spans="1:18" ht="123" customHeight="1">
      <c r="A504" s="53">
        <v>5</v>
      </c>
      <c r="B504" s="448" t="s">
        <v>348</v>
      </c>
      <c r="C504" s="460">
        <v>10</v>
      </c>
      <c r="D504" s="89">
        <v>5265</v>
      </c>
      <c r="E504" s="49"/>
      <c r="F504" s="49"/>
      <c r="G504" s="49"/>
      <c r="H504" s="49"/>
      <c r="I504" s="49"/>
      <c r="J504" s="49"/>
      <c r="K504" s="89">
        <f t="shared" si="43"/>
        <v>5265</v>
      </c>
      <c r="L504" s="49"/>
      <c r="M504" s="49"/>
      <c r="N504" s="49">
        <f>K504*30%</f>
        <v>1579.5</v>
      </c>
      <c r="O504" s="49"/>
      <c r="P504" s="49"/>
      <c r="Q504" s="459">
        <f t="shared" si="44"/>
        <v>68445</v>
      </c>
      <c r="R504" s="56">
        <v>10</v>
      </c>
    </row>
    <row r="505" spans="1:18" ht="100.5" customHeight="1">
      <c r="A505" s="53">
        <v>6</v>
      </c>
      <c r="B505" s="448" t="s">
        <v>349</v>
      </c>
      <c r="C505" s="460">
        <v>1</v>
      </c>
      <c r="D505" s="89">
        <v>3674</v>
      </c>
      <c r="E505" s="49"/>
      <c r="F505" s="49"/>
      <c r="G505" s="49"/>
      <c r="H505" s="49"/>
      <c r="I505" s="49"/>
      <c r="J505" s="49"/>
      <c r="K505" s="89">
        <f t="shared" si="43"/>
        <v>3674</v>
      </c>
      <c r="L505" s="49"/>
      <c r="M505" s="49"/>
      <c r="N505" s="49"/>
      <c r="O505" s="49"/>
      <c r="P505" s="49"/>
      <c r="Q505" s="459">
        <f t="shared" si="44"/>
        <v>3674</v>
      </c>
      <c r="R505" s="56">
        <v>4</v>
      </c>
    </row>
    <row r="506" spans="1:18" ht="108.75" customHeight="1">
      <c r="A506" s="53">
        <v>7</v>
      </c>
      <c r="B506" s="448" t="s">
        <v>350</v>
      </c>
      <c r="C506" s="460">
        <v>6</v>
      </c>
      <c r="D506" s="89">
        <v>3674</v>
      </c>
      <c r="E506" s="49"/>
      <c r="F506" s="49"/>
      <c r="G506" s="49"/>
      <c r="H506" s="49"/>
      <c r="I506" s="49"/>
      <c r="J506" s="49"/>
      <c r="K506" s="89">
        <f t="shared" si="43"/>
        <v>3674</v>
      </c>
      <c r="L506" s="49"/>
      <c r="M506" s="49"/>
      <c r="N506" s="49"/>
      <c r="O506" s="461"/>
      <c r="P506" s="49">
        <f>K506*0.1</f>
        <v>367.40000000000003</v>
      </c>
      <c r="Q506" s="459">
        <f t="shared" si="44"/>
        <v>24248.4</v>
      </c>
      <c r="R506" s="56">
        <v>4</v>
      </c>
    </row>
    <row r="507" spans="1:18" ht="45.75" customHeight="1">
      <c r="A507" s="53"/>
      <c r="B507" s="133"/>
      <c r="C507" s="346">
        <f>SUM(C500:C506)</f>
        <v>25</v>
      </c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58">
        <f>Q500+Q501+Q502+Q503+Q504+Q505+Q506</f>
        <v>159702.92</v>
      </c>
      <c r="R507" s="56"/>
    </row>
    <row r="508" spans="1:18" ht="43.5" customHeight="1">
      <c r="A508" s="229"/>
      <c r="B508" s="295" t="s">
        <v>65</v>
      </c>
      <c r="C508" s="341">
        <f>C500+C501</f>
        <v>6</v>
      </c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341">
        <f>Q500+Q501</f>
        <v>49646.520000000004</v>
      </c>
      <c r="R508" s="184"/>
    </row>
    <row r="509" spans="1:18" ht="43.5" customHeight="1">
      <c r="A509" s="229"/>
      <c r="B509" s="295" t="s">
        <v>66</v>
      </c>
      <c r="C509" s="341">
        <f>C502+C503+C504</f>
        <v>12</v>
      </c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341">
        <f>Q502+Q503+Q504</f>
        <v>82134</v>
      </c>
      <c r="R509" s="184"/>
    </row>
    <row r="510" spans="1:18" ht="45.75" customHeight="1">
      <c r="A510" s="229"/>
      <c r="B510" s="295" t="s">
        <v>51</v>
      </c>
      <c r="C510" s="341">
        <f>C506</f>
        <v>6</v>
      </c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341">
        <f>Q506</f>
        <v>24248.4</v>
      </c>
      <c r="R510" s="184"/>
    </row>
    <row r="511" spans="1:18" ht="45.75" customHeight="1">
      <c r="A511" s="205"/>
      <c r="B511" s="295" t="s">
        <v>63</v>
      </c>
      <c r="C511" s="341">
        <f>C505</f>
        <v>1</v>
      </c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341">
        <f>Q505</f>
        <v>3674</v>
      </c>
      <c r="R511" s="65"/>
    </row>
    <row r="512" spans="1:18" ht="45.75" customHeight="1">
      <c r="A512" s="205"/>
      <c r="B512" s="102"/>
      <c r="C512" s="37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60"/>
      <c r="R512" s="65"/>
    </row>
    <row r="513" spans="1:18" ht="45.75" customHeight="1">
      <c r="A513" s="205"/>
      <c r="B513" s="102"/>
      <c r="C513" s="37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60"/>
      <c r="R513" s="65"/>
    </row>
    <row r="514" spans="1:19" ht="84.75" customHeight="1">
      <c r="A514" s="57"/>
      <c r="B514" s="472" t="s">
        <v>360</v>
      </c>
      <c r="C514" s="434">
        <f>SUM(C515:C518)</f>
        <v>284.25</v>
      </c>
      <c r="D514" s="523"/>
      <c r="E514" s="524"/>
      <c r="F514" s="524"/>
      <c r="G514" s="524"/>
      <c r="H514" s="524"/>
      <c r="I514" s="524"/>
      <c r="J514" s="524"/>
      <c r="K514" s="524"/>
      <c r="L514" s="524"/>
      <c r="M514" s="524"/>
      <c r="N514" s="524"/>
      <c r="O514" s="524"/>
      <c r="P514" s="525"/>
      <c r="Q514" s="413">
        <f>SUM(Q515:Q518)</f>
        <v>1932281.9448499999</v>
      </c>
      <c r="R514" s="65"/>
      <c r="S514" s="312"/>
    </row>
    <row r="515" spans="1:19" ht="37.5" customHeight="1">
      <c r="A515" s="57"/>
      <c r="B515" s="299" t="s">
        <v>65</v>
      </c>
      <c r="C515" s="435">
        <f>C22+C158+C216+C261+C288+C304+C321+C339+C377+C396+C430+C442+C454+C466+C474+C487+C508</f>
        <v>66.75</v>
      </c>
      <c r="D515" s="517"/>
      <c r="E515" s="518"/>
      <c r="F515" s="518"/>
      <c r="G515" s="518"/>
      <c r="H515" s="518"/>
      <c r="I515" s="518"/>
      <c r="J515" s="518"/>
      <c r="K515" s="518"/>
      <c r="L515" s="518"/>
      <c r="M515" s="518"/>
      <c r="N515" s="518"/>
      <c r="O515" s="518"/>
      <c r="P515" s="519"/>
      <c r="Q515" s="449">
        <f>Q22+Q158+Q216+Q261+Q288+Q304+Q321+Q339+Q377+Q396+Q430+Q442+Q454+Q466+Q474+Q487+Q508+4166.84</f>
        <v>666916.1081999999</v>
      </c>
      <c r="R515" s="65"/>
      <c r="S515" s="312"/>
    </row>
    <row r="516" spans="1:19" ht="37.5" customHeight="1">
      <c r="A516" s="57"/>
      <c r="B516" s="299" t="s">
        <v>66</v>
      </c>
      <c r="C516" s="435">
        <f>C159+C245+C262+C289+C305+C322+C340+C350+C362+C378+C397+C431+C467+C475+C488+C509</f>
        <v>109.5</v>
      </c>
      <c r="D516" s="520"/>
      <c r="E516" s="521"/>
      <c r="F516" s="521"/>
      <c r="G516" s="521"/>
      <c r="H516" s="521"/>
      <c r="I516" s="521"/>
      <c r="J516" s="521"/>
      <c r="K516" s="521"/>
      <c r="L516" s="521"/>
      <c r="M516" s="521"/>
      <c r="N516" s="521"/>
      <c r="O516" s="521"/>
      <c r="P516" s="522"/>
      <c r="Q516" s="449">
        <f>Q159+Q245+Q262+Q289+Q305+Q322+Q340+Q350+Q362+Q378+Q397+Q431+Q467+Q475+Q488+Q509</f>
        <v>756111.9176500001</v>
      </c>
      <c r="R516" s="65"/>
      <c r="S516" s="312"/>
    </row>
    <row r="517" spans="1:19" ht="39.75" customHeight="1">
      <c r="A517" s="57"/>
      <c r="B517" s="299" t="s">
        <v>51</v>
      </c>
      <c r="C517" s="435">
        <f>C160+C252+C290+C306+C323+C341+C351+C363+C379+C398+C432+C443+C455+C468+C489+C510</f>
        <v>54.25</v>
      </c>
      <c r="D517" s="517"/>
      <c r="E517" s="518"/>
      <c r="F517" s="518"/>
      <c r="G517" s="518"/>
      <c r="H517" s="518"/>
      <c r="I517" s="518"/>
      <c r="J517" s="518"/>
      <c r="K517" s="518"/>
      <c r="L517" s="518"/>
      <c r="M517" s="518"/>
      <c r="N517" s="518"/>
      <c r="O517" s="518"/>
      <c r="P517" s="519"/>
      <c r="Q517" s="449">
        <f>Q160+Q252+Q290+Q306+Q323+Q341+Q351+Q363+Q379+Q398+Q432+Q443+Q455+Q468+Q489+Q510</f>
        <v>221906.3</v>
      </c>
      <c r="R517" s="65"/>
      <c r="S517" s="312"/>
    </row>
    <row r="518" spans="1:19" ht="42" customHeight="1">
      <c r="A518" s="57"/>
      <c r="B518" s="299" t="s">
        <v>68</v>
      </c>
      <c r="C518" s="435">
        <f>C23+C48+C55+C63+C113+C77+C161+C253+C291+C307+C324+C399+C433+C511+C448</f>
        <v>53.75</v>
      </c>
      <c r="D518" s="514"/>
      <c r="E518" s="515"/>
      <c r="F518" s="515"/>
      <c r="G518" s="515"/>
      <c r="H518" s="515"/>
      <c r="I518" s="515"/>
      <c r="J518" s="515"/>
      <c r="K518" s="515"/>
      <c r="L518" s="515"/>
      <c r="M518" s="515"/>
      <c r="N518" s="515"/>
      <c r="O518" s="515"/>
      <c r="P518" s="516"/>
      <c r="Q518" s="449">
        <f>Q23+Q48+Q55+Q63+Q113+Q77+Q161+Q253+Q291+Q307+Q324+Q399+Q433+Q511+Q448-4018.72</f>
        <v>287347.619</v>
      </c>
      <c r="R518" s="65"/>
      <c r="S518" s="312"/>
    </row>
    <row r="519" spans="1:18" ht="45.75" customHeight="1">
      <c r="A519" s="65"/>
      <c r="B519" s="57"/>
      <c r="C519" s="419"/>
      <c r="D519" s="65"/>
      <c r="E519" s="57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</row>
    <row r="520" spans="1:18" ht="45.75" customHeight="1">
      <c r="A520" s="57"/>
      <c r="B520" s="65"/>
      <c r="C520" s="419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</row>
    <row r="521" spans="1:18" ht="45.75" customHeight="1">
      <c r="A521" s="65"/>
      <c r="B521" s="57"/>
      <c r="C521" s="419"/>
      <c r="D521" s="65"/>
      <c r="E521" s="65"/>
      <c r="F521" s="65"/>
      <c r="G521" s="65"/>
      <c r="H521" s="65"/>
      <c r="I521" s="227"/>
      <c r="J521" s="65"/>
      <c r="K521" s="65"/>
      <c r="L521" s="65"/>
      <c r="M521" s="65"/>
      <c r="N521" s="65"/>
      <c r="O521" s="65"/>
      <c r="P521" s="65"/>
      <c r="Q521" s="65"/>
      <c r="R521" s="65"/>
    </row>
    <row r="522" spans="1:18" ht="26.25">
      <c r="A522" s="38"/>
      <c r="B522" s="36"/>
      <c r="C522" s="34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 ht="18.75">
      <c r="A523" s="28"/>
    </row>
    <row r="524" ht="18.75">
      <c r="A524" s="28"/>
    </row>
    <row r="525" ht="18.75">
      <c r="A525" s="28"/>
    </row>
  </sheetData>
  <sheetProtection/>
  <mergeCells count="135">
    <mergeCell ref="A193:A194"/>
    <mergeCell ref="D183:D184"/>
    <mergeCell ref="R183:R184"/>
    <mergeCell ref="N140:N141"/>
    <mergeCell ref="Q139:Q141"/>
    <mergeCell ref="A176:R176"/>
    <mergeCell ref="L140:L141"/>
    <mergeCell ref="A143:R143"/>
    <mergeCell ref="F183:F184"/>
    <mergeCell ref="B183:B184"/>
    <mergeCell ref="B116:C116"/>
    <mergeCell ref="E140:E141"/>
    <mergeCell ref="F140:F141"/>
    <mergeCell ref="B117:C117"/>
    <mergeCell ref="I140:I141"/>
    <mergeCell ref="M140:M141"/>
    <mergeCell ref="I135:J135"/>
    <mergeCell ref="L139:N139"/>
    <mergeCell ref="D139:D141"/>
    <mergeCell ref="E139:J139"/>
    <mergeCell ref="P225:P226"/>
    <mergeCell ref="O225:O226"/>
    <mergeCell ref="R225:R226"/>
    <mergeCell ref="B225:B226"/>
    <mergeCell ref="A307:B307"/>
    <mergeCell ref="D292:N292"/>
    <mergeCell ref="C225:C226"/>
    <mergeCell ref="D225:D226"/>
    <mergeCell ref="A287:B287"/>
    <mergeCell ref="A225:A226"/>
    <mergeCell ref="M183:M184"/>
    <mergeCell ref="A348:B348"/>
    <mergeCell ref="A338:B338"/>
    <mergeCell ref="A327:R327"/>
    <mergeCell ref="A306:B306"/>
    <mergeCell ref="C139:C141"/>
    <mergeCell ref="G225:G226"/>
    <mergeCell ref="A274:R274"/>
    <mergeCell ref="C183:C184"/>
    <mergeCell ref="A309:R309"/>
    <mergeCell ref="A251:B251"/>
    <mergeCell ref="A245:B245"/>
    <mergeCell ref="A342:R342"/>
    <mergeCell ref="A303:B303"/>
    <mergeCell ref="E247:M247"/>
    <mergeCell ref="B268:D268"/>
    <mergeCell ref="A354:R354"/>
    <mergeCell ref="A360:B360"/>
    <mergeCell ref="A476:R476"/>
    <mergeCell ref="D450:O450"/>
    <mergeCell ref="A428:B428"/>
    <mergeCell ref="A410:R410"/>
    <mergeCell ref="A365:R365"/>
    <mergeCell ref="A375:B375"/>
    <mergeCell ref="A381:R381"/>
    <mergeCell ref="A394:B394"/>
    <mergeCell ref="O7:P7"/>
    <mergeCell ref="K7:K8"/>
    <mergeCell ref="B115:C115"/>
    <mergeCell ref="A51:R51"/>
    <mergeCell ref="Q99:Q100"/>
    <mergeCell ref="R99:R100"/>
    <mergeCell ref="A112:B112"/>
    <mergeCell ref="A66:R66"/>
    <mergeCell ref="K99:K100"/>
    <mergeCell ref="A99:A100"/>
    <mergeCell ref="B7:B8"/>
    <mergeCell ref="C7:C8"/>
    <mergeCell ref="D7:D8"/>
    <mergeCell ref="E7:J7"/>
    <mergeCell ref="L7:N7"/>
    <mergeCell ref="B99:B100"/>
    <mergeCell ref="E99:J99"/>
    <mergeCell ref="A77:B77"/>
    <mergeCell ref="A11:M11"/>
    <mergeCell ref="A12:M12"/>
    <mergeCell ref="Q7:Q8"/>
    <mergeCell ref="A13:M13"/>
    <mergeCell ref="I120:J120"/>
    <mergeCell ref="A57:R57"/>
    <mergeCell ref="A63:B63"/>
    <mergeCell ref="O99:P99"/>
    <mergeCell ref="R7:R8"/>
    <mergeCell ref="A10:M10"/>
    <mergeCell ref="A7:A8"/>
    <mergeCell ref="L99:N99"/>
    <mergeCell ref="L183:L184"/>
    <mergeCell ref="P183:P184"/>
    <mergeCell ref="A55:B55"/>
    <mergeCell ref="K127:L127"/>
    <mergeCell ref="A139:A141"/>
    <mergeCell ref="B139:B141"/>
    <mergeCell ref="C99:C100"/>
    <mergeCell ref="D99:D100"/>
    <mergeCell ref="K125:L125"/>
    <mergeCell ref="E183:E184"/>
    <mergeCell ref="R139:R141"/>
    <mergeCell ref="J183:J184"/>
    <mergeCell ref="Q225:Q226"/>
    <mergeCell ref="O139:P139"/>
    <mergeCell ref="J140:J141"/>
    <mergeCell ref="O140:O141"/>
    <mergeCell ref="P140:P141"/>
    <mergeCell ref="K139:K141"/>
    <mergeCell ref="B211:R211"/>
    <mergeCell ref="G183:G184"/>
    <mergeCell ref="H140:H141"/>
    <mergeCell ref="A320:B320"/>
    <mergeCell ref="I225:I226"/>
    <mergeCell ref="A273:R273"/>
    <mergeCell ref="A264:R264"/>
    <mergeCell ref="E255:K255"/>
    <mergeCell ref="F225:F226"/>
    <mergeCell ref="M225:M226"/>
    <mergeCell ref="E225:E226"/>
    <mergeCell ref="L225:L226"/>
    <mergeCell ref="J225:J226"/>
    <mergeCell ref="D518:P518"/>
    <mergeCell ref="D517:P517"/>
    <mergeCell ref="D516:P516"/>
    <mergeCell ref="D515:P515"/>
    <mergeCell ref="D514:P514"/>
    <mergeCell ref="A325:R325"/>
    <mergeCell ref="A441:B441"/>
    <mergeCell ref="A473:B473"/>
    <mergeCell ref="A465:B465"/>
    <mergeCell ref="A498:R498"/>
    <mergeCell ref="A363:B363"/>
    <mergeCell ref="A361:B361"/>
    <mergeCell ref="A362:B362"/>
    <mergeCell ref="A485:B485"/>
    <mergeCell ref="A453:B453"/>
    <mergeCell ref="A469:R469"/>
    <mergeCell ref="A459:R459"/>
    <mergeCell ref="A393:R393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portrait" paperSize="9" scale="20" r:id="rId3"/>
  <rowBreaks count="3" manualBreakCount="3">
    <brk id="228" max="17" man="1"/>
    <brk id="254" max="17" man="1"/>
    <brk id="45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3:S20"/>
  <sheetViews>
    <sheetView view="pageBreakPreview" zoomScale="75" zoomScaleNormal="75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8.875" style="0" customWidth="1"/>
    <col min="4" max="4" width="10.75390625" style="0" customWidth="1"/>
    <col min="5" max="5" width="9.25390625" style="0" customWidth="1"/>
    <col min="7" max="7" width="8.125" style="0" customWidth="1"/>
    <col min="8" max="8" width="7.875" style="0" customWidth="1"/>
    <col min="9" max="9" width="9.00390625" style="0" customWidth="1"/>
    <col min="11" max="11" width="10.875" style="0" bestFit="1" customWidth="1"/>
    <col min="12" max="12" width="8.125" style="0" customWidth="1"/>
    <col min="13" max="13" width="8.00390625" style="0" customWidth="1"/>
    <col min="14" max="14" width="11.125" style="0" customWidth="1"/>
    <col min="15" max="15" width="6.25390625" style="0" customWidth="1"/>
    <col min="16" max="16" width="7.00390625" style="0" customWidth="1"/>
    <col min="17" max="17" width="12.625" style="0" customWidth="1"/>
    <col min="18" max="18" width="9.375" style="0" customWidth="1"/>
  </cols>
  <sheetData>
    <row r="3" spans="1:18" ht="18.75">
      <c r="A3" s="3">
        <v>1</v>
      </c>
      <c r="B3" s="15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</row>
    <row r="4" spans="1:18" ht="65.25" customHeight="1">
      <c r="A4" s="6">
        <v>1</v>
      </c>
      <c r="B4" s="11" t="s">
        <v>87</v>
      </c>
      <c r="C4" s="8">
        <v>0.5</v>
      </c>
      <c r="D4" s="310">
        <v>5265</v>
      </c>
      <c r="E4" s="310">
        <f>D4*0.1</f>
        <v>526.5</v>
      </c>
      <c r="F4" s="310"/>
      <c r="G4" s="310"/>
      <c r="H4" s="310"/>
      <c r="I4" s="310"/>
      <c r="J4" s="310"/>
      <c r="K4" s="310">
        <f>SUM(D4:J4)</f>
        <v>5791.5</v>
      </c>
      <c r="L4" s="310"/>
      <c r="M4" s="310"/>
      <c r="N4" s="310">
        <f>K4*0.3</f>
        <v>1737.45</v>
      </c>
      <c r="O4" s="310"/>
      <c r="P4" s="310"/>
      <c r="Q4" s="310">
        <f>SUM(K4:P4)*C4</f>
        <v>3764.475</v>
      </c>
      <c r="R4" s="8">
        <v>10</v>
      </c>
    </row>
    <row r="5" spans="1:18" ht="37.5">
      <c r="A5" s="6">
        <v>2</v>
      </c>
      <c r="B5" s="12" t="s">
        <v>88</v>
      </c>
      <c r="C5" s="6">
        <v>0.5</v>
      </c>
      <c r="D5" s="310">
        <v>5265</v>
      </c>
      <c r="E5" s="311"/>
      <c r="F5" s="311"/>
      <c r="G5" s="311"/>
      <c r="H5" s="311"/>
      <c r="I5" s="311"/>
      <c r="J5" s="311"/>
      <c r="K5" s="310">
        <f>SUM(D5:J5)</f>
        <v>5265</v>
      </c>
      <c r="L5" s="311"/>
      <c r="M5" s="311"/>
      <c r="N5" s="310">
        <f>K5*0.3</f>
        <v>1579.5</v>
      </c>
      <c r="O5" s="311"/>
      <c r="P5" s="311"/>
      <c r="Q5" s="310">
        <f>SUM(K5:P5)*C5</f>
        <v>3422.25</v>
      </c>
      <c r="R5" s="6">
        <v>10</v>
      </c>
    </row>
    <row r="6" spans="1:18" ht="18.75">
      <c r="A6" s="6">
        <v>3</v>
      </c>
      <c r="B6" s="12" t="s">
        <v>89</v>
      </c>
      <c r="C6" s="9">
        <v>2</v>
      </c>
      <c r="D6" s="311">
        <v>4195</v>
      </c>
      <c r="E6" s="311"/>
      <c r="F6" s="311"/>
      <c r="G6" s="311"/>
      <c r="H6" s="311"/>
      <c r="I6" s="311"/>
      <c r="J6" s="311"/>
      <c r="K6" s="310">
        <f>SUM(D6:J6)</f>
        <v>4195</v>
      </c>
      <c r="L6" s="311"/>
      <c r="M6" s="311"/>
      <c r="N6" s="310">
        <f>K6*0.3</f>
        <v>1258.5</v>
      </c>
      <c r="O6" s="311"/>
      <c r="P6" s="311"/>
      <c r="Q6" s="310">
        <f>SUM(K6:P6)*C6</f>
        <v>10907</v>
      </c>
      <c r="R6" s="6">
        <v>6</v>
      </c>
    </row>
    <row r="7" spans="1:18" ht="41.25" customHeight="1">
      <c r="A7" s="6">
        <v>4</v>
      </c>
      <c r="B7" s="12" t="s">
        <v>90</v>
      </c>
      <c r="C7" s="9">
        <v>1</v>
      </c>
      <c r="D7" s="311">
        <v>3414</v>
      </c>
      <c r="E7" s="311"/>
      <c r="F7" s="311"/>
      <c r="G7" s="311"/>
      <c r="H7" s="311"/>
      <c r="I7" s="311"/>
      <c r="J7" s="311"/>
      <c r="K7" s="310">
        <f>SUM(D7:J7)</f>
        <v>3414</v>
      </c>
      <c r="L7" s="311"/>
      <c r="M7" s="311"/>
      <c r="N7" s="311"/>
      <c r="O7" s="311"/>
      <c r="P7" s="311"/>
      <c r="Q7" s="310">
        <f>SUM(K7:P7)*C7</f>
        <v>3414</v>
      </c>
      <c r="R7" s="6">
        <v>3</v>
      </c>
    </row>
    <row r="8" spans="1:18" ht="18.75">
      <c r="A8" s="6">
        <v>5</v>
      </c>
      <c r="B8" s="12" t="s">
        <v>91</v>
      </c>
      <c r="C8" s="7">
        <v>0.5</v>
      </c>
      <c r="D8" s="311">
        <v>3153</v>
      </c>
      <c r="E8" s="311"/>
      <c r="F8" s="311"/>
      <c r="G8" s="311"/>
      <c r="H8" s="311"/>
      <c r="I8" s="311"/>
      <c r="J8" s="311"/>
      <c r="K8" s="310">
        <f>SUM(D8:J8)</f>
        <v>3153</v>
      </c>
      <c r="L8" s="311"/>
      <c r="M8" s="311"/>
      <c r="N8" s="311"/>
      <c r="O8" s="311"/>
      <c r="P8" s="311"/>
      <c r="Q8" s="310">
        <f>SUM(K8:P8)*C8</f>
        <v>1576.5</v>
      </c>
      <c r="R8" s="6">
        <v>2</v>
      </c>
    </row>
    <row r="9" spans="1:18" ht="37.5" customHeight="1">
      <c r="A9" s="3"/>
      <c r="B9" s="3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</row>
    <row r="10" spans="1:18" ht="28.5" customHeight="1">
      <c r="A10" s="3"/>
      <c r="B10" s="15" t="s">
        <v>92</v>
      </c>
      <c r="C10" s="5">
        <f>SUM(C11:C14)</f>
        <v>4.5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09">
        <f>Q11+Q12+Q13+Q14</f>
        <v>23084.225</v>
      </c>
      <c r="R10" s="3"/>
    </row>
    <row r="11" spans="1:18" ht="27.75" customHeight="1">
      <c r="A11" s="3"/>
      <c r="B11" s="15" t="s">
        <v>54</v>
      </c>
      <c r="C11" s="5">
        <f>SUM(C4:C5)</f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09">
        <f>Q4+Q5</f>
        <v>7186.725</v>
      </c>
      <c r="R11" s="3"/>
    </row>
    <row r="12" spans="1:18" ht="31.5" customHeight="1">
      <c r="A12" s="3"/>
      <c r="B12" s="15" t="s">
        <v>83</v>
      </c>
      <c r="C12" s="5">
        <f>SUM(C6:C6)</f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09">
        <f>Q6</f>
        <v>10907</v>
      </c>
      <c r="R12" s="3"/>
    </row>
    <row r="13" spans="1:18" ht="27.75" customHeight="1">
      <c r="A13" s="3"/>
      <c r="B13" s="15" t="s">
        <v>56</v>
      </c>
      <c r="C13" s="5">
        <f>C7</f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09">
        <f>Q7</f>
        <v>3414</v>
      </c>
      <c r="R13" s="3"/>
    </row>
    <row r="14" spans="1:18" ht="29.25" customHeight="1">
      <c r="A14" s="3"/>
      <c r="B14" s="15" t="s">
        <v>55</v>
      </c>
      <c r="C14" s="5">
        <f>C8</f>
        <v>0.5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09">
        <f>Q8</f>
        <v>1576.5</v>
      </c>
      <c r="R14" s="3"/>
    </row>
    <row r="15" ht="15.75">
      <c r="A15" s="2"/>
    </row>
    <row r="17" spans="3:12" ht="39" customHeight="1">
      <c r="C17" s="606" t="s">
        <v>30</v>
      </c>
      <c r="D17" s="606"/>
      <c r="E17" s="606"/>
      <c r="I17" s="606" t="s">
        <v>144</v>
      </c>
      <c r="J17" s="606"/>
      <c r="K17" s="606"/>
      <c r="L17" s="606"/>
    </row>
    <row r="18" spans="2:19" ht="6.75" customHeight="1">
      <c r="B18" s="607"/>
      <c r="C18" s="607"/>
      <c r="D18" s="13"/>
      <c r="E18" s="13"/>
      <c r="F18" s="13"/>
      <c r="G18" s="13"/>
      <c r="H18" s="13"/>
      <c r="I18" s="607"/>
      <c r="J18" s="607"/>
      <c r="K18" s="13"/>
      <c r="L18" s="13"/>
      <c r="M18" s="1"/>
      <c r="N18" s="1"/>
      <c r="O18" s="1"/>
      <c r="P18" s="1"/>
      <c r="Q18" s="1"/>
      <c r="R18" s="1"/>
      <c r="S18" s="1"/>
    </row>
    <row r="19" spans="2:12" ht="30.75" customHeight="1">
      <c r="B19" s="10"/>
      <c r="C19" s="10" t="s">
        <v>98</v>
      </c>
      <c r="D19" s="10"/>
      <c r="E19" s="10"/>
      <c r="F19" s="10"/>
      <c r="G19" s="10"/>
      <c r="H19" s="10"/>
      <c r="I19" s="10" t="s">
        <v>370</v>
      </c>
      <c r="J19" s="10"/>
      <c r="K19" s="10"/>
      <c r="L19" s="10"/>
    </row>
    <row r="20" spans="2:12" ht="2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4">
    <mergeCell ref="C17:E17"/>
    <mergeCell ref="I17:L17"/>
    <mergeCell ref="B18:C18"/>
    <mergeCell ref="I18:J18"/>
  </mergeCells>
  <printOptions/>
  <pageMargins left="0.25" right="0.17" top="0.85" bottom="0.26" header="0.29" footer="0.18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25"/>
  <sheetViews>
    <sheetView zoomScalePageLayoutView="0" workbookViewId="0" topLeftCell="A1">
      <selection activeCell="I4" sqref="I4:N4"/>
    </sheetView>
  </sheetViews>
  <sheetFormatPr defaultColWidth="9.00390625" defaultRowHeight="12.75"/>
  <sheetData>
    <row r="1" spans="6:9" ht="12.75">
      <c r="F1" s="18"/>
      <c r="G1" s="18"/>
      <c r="H1" s="18"/>
      <c r="I1" s="18"/>
    </row>
    <row r="2" spans="10:14" ht="15.75">
      <c r="J2" s="479" t="s">
        <v>257</v>
      </c>
      <c r="K2" s="479"/>
      <c r="L2" s="479"/>
      <c r="M2" s="479"/>
      <c r="N2" s="479"/>
    </row>
    <row r="3" spans="9:14" ht="15">
      <c r="I3" s="609" t="s">
        <v>268</v>
      </c>
      <c r="J3" s="609"/>
      <c r="K3" s="609"/>
      <c r="L3" s="609"/>
      <c r="M3" s="609"/>
      <c r="N3" s="609"/>
    </row>
    <row r="4" spans="9:14" ht="15">
      <c r="I4" s="609" t="s">
        <v>258</v>
      </c>
      <c r="J4" s="609"/>
      <c r="K4" s="609"/>
      <c r="L4" s="609"/>
      <c r="M4" s="609"/>
      <c r="N4" s="609"/>
    </row>
    <row r="5" spans="9:14" ht="15">
      <c r="I5" s="610" t="s">
        <v>259</v>
      </c>
      <c r="J5" s="610"/>
      <c r="K5" s="610"/>
      <c r="L5" s="610"/>
      <c r="M5" s="610"/>
      <c r="N5" s="610"/>
    </row>
    <row r="6" spans="9:14" ht="15">
      <c r="I6" s="609" t="s">
        <v>260</v>
      </c>
      <c r="J6" s="609"/>
      <c r="K6" s="609"/>
      <c r="L6" s="609"/>
      <c r="M6" s="609"/>
      <c r="N6" s="609"/>
    </row>
    <row r="7" spans="6:14" ht="15">
      <c r="F7" s="382"/>
      <c r="G7" s="382"/>
      <c r="H7" s="382"/>
      <c r="I7" s="611" t="s">
        <v>261</v>
      </c>
      <c r="J7" s="611"/>
      <c r="K7" s="611"/>
      <c r="L7" s="611"/>
      <c r="M7" s="611"/>
      <c r="N7" s="611"/>
    </row>
    <row r="8" spans="8:11" ht="15">
      <c r="H8" s="383"/>
      <c r="I8" s="383" t="s">
        <v>262</v>
      </c>
      <c r="J8" s="383"/>
      <c r="K8" s="383"/>
    </row>
    <row r="12" spans="3:7" ht="12.75">
      <c r="C12" s="608"/>
      <c r="D12" s="608"/>
      <c r="E12" s="608"/>
      <c r="F12" s="608"/>
      <c r="G12" s="608"/>
    </row>
    <row r="15" spans="5:6" ht="23.25">
      <c r="E15" s="384" t="s">
        <v>263</v>
      </c>
      <c r="F15" s="385"/>
    </row>
    <row r="19" ht="20.25">
      <c r="C19" s="387" t="s">
        <v>264</v>
      </c>
    </row>
    <row r="21" ht="20.25">
      <c r="F21" s="387" t="s">
        <v>265</v>
      </c>
    </row>
    <row r="25" ht="12.75">
      <c r="H25" s="386"/>
    </row>
  </sheetData>
  <sheetProtection/>
  <mergeCells count="7">
    <mergeCell ref="J2:N2"/>
    <mergeCell ref="C12:G12"/>
    <mergeCell ref="I3:N3"/>
    <mergeCell ref="I4:N4"/>
    <mergeCell ref="I5:N5"/>
    <mergeCell ref="I6:N6"/>
    <mergeCell ref="I7:N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Ekonomist2</cp:lastModifiedBy>
  <cp:lastPrinted>2022-08-17T11:37:50Z</cp:lastPrinted>
  <dcterms:created xsi:type="dcterms:W3CDTF">2007-05-25T06:15:19Z</dcterms:created>
  <dcterms:modified xsi:type="dcterms:W3CDTF">2022-08-22T12:37:56Z</dcterms:modified>
  <cp:category/>
  <cp:version/>
  <cp:contentType/>
  <cp:contentStatus/>
</cp:coreProperties>
</file>