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92" activeTab="0"/>
  </bookViews>
  <sheets>
    <sheet name="ЦРЛ " sheetId="1" r:id="rId1"/>
    <sheet name="Титул. " sheetId="2" r:id="rId2"/>
  </sheets>
  <definedNames>
    <definedName name="_xlnm.Print_Area" localSheetId="1">'Титул. '!$A$1:$S$24</definedName>
    <definedName name="_xlnm.Print_Area" localSheetId="0">'ЦРЛ '!$A$3:$R$442</definedName>
    <definedName name="_xlnm.Print_Area" localSheetId="0">'ЦРЛ '!$A$7:$AC$446</definedName>
  </definedNames>
  <calcPr fullCalcOnLoad="1" refMode="R1C1"/>
</workbook>
</file>

<file path=xl/comments1.xml><?xml version="1.0" encoding="utf-8"?>
<comments xmlns="http://schemas.openxmlformats.org/spreadsheetml/2006/main">
  <authors>
    <author>Ekonomist</author>
    <author>Віктор</author>
    <author>TD</author>
  </authors>
  <commentList>
    <comment ref="C32" authorId="0">
      <text>
        <r>
          <rPr>
            <b/>
            <sz val="9"/>
            <rFont val="Tahoma"/>
            <family val="2"/>
          </rPr>
          <t>Ekonomist:</t>
        </r>
        <r>
          <rPr>
            <sz val="9"/>
            <rFont val="Tahoma"/>
            <family val="2"/>
          </rPr>
          <t xml:space="preserve">
п</t>
        </r>
        <r>
          <rPr>
            <sz val="14"/>
            <rFont val="Tahoma"/>
            <family val="2"/>
          </rPr>
          <t>ерепрофільовано лише на 2018
 рік</t>
        </r>
        <r>
          <rPr>
            <sz val="9"/>
            <rFont val="Tahoma"/>
            <family val="2"/>
          </rPr>
          <t xml:space="preserve">
</t>
        </r>
      </text>
    </comment>
    <comment ref="C40" authorId="0">
      <text>
        <r>
          <rPr>
            <b/>
            <sz val="9"/>
            <rFont val="Tahoma"/>
            <family val="2"/>
          </rPr>
          <t>Ekonomist: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перепрофільовано 0,25 на І. Відділ кадрів лише на 2017
</t>
        </r>
      </text>
    </comment>
    <comment ref="N155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658,12</t>
        </r>
      </text>
    </comment>
    <comment ref="N156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658,12</t>
        </r>
      </text>
    </comment>
    <comment ref="N157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658,12</t>
        </r>
      </text>
    </comment>
    <comment ref="N158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658,12</t>
        </r>
      </text>
    </comment>
    <comment ref="N159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456,90</t>
        </r>
      </text>
    </comment>
    <comment ref="N181" authorId="1">
      <text>
        <r>
          <rPr>
            <b/>
            <sz val="10"/>
            <rFont val="Tahoma"/>
            <family val="2"/>
          </rPr>
          <t>Віктор:</t>
        </r>
        <r>
          <rPr>
            <sz val="10"/>
            <rFont val="Tahoma"/>
            <family val="2"/>
          </rPr>
          <t xml:space="preserve">
789,75</t>
        </r>
      </text>
    </comment>
    <comment ref="C209" authorId="2">
      <text>
        <r>
          <rPr>
            <b/>
            <sz val="9"/>
            <rFont val="Tahoma"/>
            <family val="2"/>
          </rPr>
          <t>TD:</t>
        </r>
        <r>
          <rPr>
            <sz val="9"/>
            <rFont val="Tahoma"/>
            <family val="2"/>
          </rPr>
          <t xml:space="preserve">
0,25 вакантних
</t>
        </r>
      </text>
    </comment>
    <comment ref="C215" authorId="2">
      <text>
        <r>
          <rPr>
            <b/>
            <sz val="9"/>
            <rFont val="Tahoma"/>
            <family val="2"/>
          </rPr>
          <t xml:space="preserve">TD:вакантне
</t>
        </r>
      </text>
    </comment>
    <comment ref="N282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1017,20</t>
        </r>
      </text>
    </comment>
    <comment ref="N283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847,66</t>
        </r>
      </text>
    </comment>
    <comment ref="N284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847,66</t>
        </r>
      </text>
    </comment>
    <comment ref="N323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921,37</t>
        </r>
      </text>
    </comment>
    <comment ref="N412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456,90</t>
        </r>
      </text>
    </comment>
  </commentList>
</comments>
</file>

<file path=xl/sharedStrings.xml><?xml version="1.0" encoding="utf-8"?>
<sst xmlns="http://schemas.openxmlformats.org/spreadsheetml/2006/main" count="462" uniqueCount="333">
  <si>
    <t>№ пп</t>
  </si>
  <si>
    <t>Назва структурного підрозділу та посад</t>
  </si>
  <si>
    <t>К-сть штат. посад</t>
  </si>
  <si>
    <t>Посадов. оклад</t>
  </si>
  <si>
    <t>Підвищення посадового окладу (грн.)</t>
  </si>
  <si>
    <t>посад. оклад з підвищеннями</t>
  </si>
  <si>
    <t>Надбавки (грн.)</t>
  </si>
  <si>
    <t>Доплати (грн)</t>
  </si>
  <si>
    <t>Фонд заробі тної плати на місяць (грн.)</t>
  </si>
  <si>
    <t>Розряд</t>
  </si>
  <si>
    <t>Завідув. І  старши нство</t>
  </si>
  <si>
    <t>Оперативне втручання</t>
  </si>
  <si>
    <t>Категорія</t>
  </si>
  <si>
    <t>Шкідливі- сть</t>
  </si>
  <si>
    <t>За санітар ний автомобіль</t>
  </si>
  <si>
    <t>За полік лініку 15%</t>
  </si>
  <si>
    <t>За тривалість роботи (участковість)</t>
  </si>
  <si>
    <t>Класність</t>
  </si>
  <si>
    <t>За стаж роботи</t>
  </si>
  <si>
    <t>За шкідл. умови праці 12 %</t>
  </si>
  <si>
    <t>за дезинфікувальні засоби 10%</t>
  </si>
  <si>
    <r>
      <t xml:space="preserve"> РОЗДІЛ І. ШТАТИ </t>
    </r>
    <r>
      <rPr>
        <b/>
        <sz val="20"/>
        <rFont val="Times New Roman"/>
        <family val="1"/>
      </rPr>
      <t xml:space="preserve"> ПРАЦІВНИКІВ  АПАРАТУ  УПРАВЛІННЯ</t>
    </r>
  </si>
  <si>
    <t>(затверджені в межах чисельності)</t>
  </si>
  <si>
    <r>
      <t xml:space="preserve">підрозділ І.  </t>
    </r>
    <r>
      <rPr>
        <sz val="20"/>
        <rFont val="Times New Roman"/>
        <family val="1"/>
      </rPr>
      <t xml:space="preserve">Штати працівників апарату управління </t>
    </r>
  </si>
  <si>
    <t xml:space="preserve">Директор  </t>
  </si>
  <si>
    <t>-</t>
  </si>
  <si>
    <t>Медичний директор Вища кат.</t>
  </si>
  <si>
    <t xml:space="preserve">  </t>
  </si>
  <si>
    <t>Заступник директора з поліклінічної роботи</t>
  </si>
  <si>
    <t>Заступник директора з адміністративно управління</t>
  </si>
  <si>
    <t>Завідувач господарством</t>
  </si>
  <si>
    <t>Начальник відділу кадрів</t>
  </si>
  <si>
    <t>Разом:</t>
  </si>
  <si>
    <t xml:space="preserve">Лікарі :             </t>
  </si>
  <si>
    <t xml:space="preserve">Інші :                </t>
  </si>
  <si>
    <t xml:space="preserve"> </t>
  </si>
  <si>
    <r>
      <t>Розділ ІІ.</t>
    </r>
    <r>
      <rPr>
        <b/>
        <sz val="30"/>
        <rFont val="Times New Roman"/>
        <family val="1"/>
      </rPr>
      <t xml:space="preserve"> Господарсько - обслуговуючий персонал</t>
    </r>
  </si>
  <si>
    <t>Інженер з охорони праці</t>
  </si>
  <si>
    <t>Юристконсульт</t>
  </si>
  <si>
    <t>Фахівець з питань цивільного захисту</t>
  </si>
  <si>
    <t xml:space="preserve">Інспектор по військовому обліку </t>
  </si>
  <si>
    <t>Фахівець з публічних закупівель</t>
  </si>
  <si>
    <t>Завідуючий складом</t>
  </si>
  <si>
    <t xml:space="preserve">Оператор ЕОМ І кат. </t>
  </si>
  <si>
    <t>Архіваріус</t>
  </si>
  <si>
    <t>Підсобний працівник</t>
  </si>
  <si>
    <t>Слюсар водопостачання ІІІ розряду</t>
  </si>
  <si>
    <t>Охоронець</t>
  </si>
  <si>
    <t>Ліфтер</t>
  </si>
  <si>
    <t>Майстер по ремонту мед. обладнання</t>
  </si>
  <si>
    <t>Слюсар-сантехнік</t>
  </si>
  <si>
    <t>Інженер - енергетик</t>
  </si>
  <si>
    <t>Столяр</t>
  </si>
  <si>
    <t>Агент постачання кисню</t>
  </si>
  <si>
    <t xml:space="preserve">Агент постачання </t>
  </si>
  <si>
    <t>Електрогазозварник ІІІ розряд</t>
  </si>
  <si>
    <t>Машиніст із прання та ремонту спецодягу</t>
  </si>
  <si>
    <t>ХАРЧОБЛОК</t>
  </si>
  <si>
    <t>Кухар ІІІ розряду</t>
  </si>
  <si>
    <t>Кухар ІV розряду</t>
  </si>
  <si>
    <t>Кухонний робітник</t>
  </si>
  <si>
    <r>
      <t>Г</t>
    </r>
    <r>
      <rPr>
        <b/>
        <u val="single"/>
        <sz val="30"/>
        <rFont val="Times New Roman"/>
        <family val="1"/>
      </rPr>
      <t>араж</t>
    </r>
  </si>
  <si>
    <t>Механік</t>
  </si>
  <si>
    <t>Водій І клас(Тойота ХАЙ-ЕЙС)</t>
  </si>
  <si>
    <t>Водій І клас (Форд-С)</t>
  </si>
  <si>
    <t>Водій І клас (ГАЗ-2705)</t>
  </si>
  <si>
    <t>Водій І клас (ГАЗ-32214)</t>
  </si>
  <si>
    <t>Водій І клас (ВАЗ-2121 Нива)</t>
  </si>
  <si>
    <t>Водій І клас (Дачія -Solensa)</t>
  </si>
  <si>
    <t>Водій І клас( (САЗ-3502)</t>
  </si>
  <si>
    <t>Бухгалтерія</t>
  </si>
  <si>
    <t>оперативне втручанн.</t>
  </si>
  <si>
    <t>Катего рія</t>
  </si>
  <si>
    <t>Шкід ливі- сть</t>
  </si>
  <si>
    <t>За сан. авт.</t>
  </si>
  <si>
    <t>За полік лініку</t>
  </si>
  <si>
    <t>Головний бухгалтер</t>
  </si>
  <si>
    <t xml:space="preserve">Економіст </t>
  </si>
  <si>
    <t>Бухгалтер з обліку основних засобів</t>
  </si>
  <si>
    <t>Бухгалтер з фінансового обліку</t>
  </si>
  <si>
    <t>Бухгалтер з господарчих матеріалів</t>
  </si>
  <si>
    <t>Бухгалтер з обліку продуктів харчування</t>
  </si>
  <si>
    <t>Бухгалтер з розрахунку з працівниками</t>
  </si>
  <si>
    <t>Бухгалтер з обліку медикаментів</t>
  </si>
  <si>
    <t>Касир</t>
  </si>
  <si>
    <r>
      <t xml:space="preserve">Інші  </t>
    </r>
    <r>
      <rPr>
        <sz val="30"/>
        <rFont val="Times New Roman"/>
        <family val="1"/>
      </rPr>
      <t xml:space="preserve">               </t>
    </r>
  </si>
  <si>
    <t xml:space="preserve">              </t>
  </si>
  <si>
    <t>РАЗОМ  ПО РОЗДІЛУ  І:</t>
  </si>
  <si>
    <t>РАЗОМ  ПО РОЗДІЛУ  ІІ:</t>
  </si>
  <si>
    <t>ВСЬОГО ПО РОЗДІЛУ І-ІІ</t>
  </si>
  <si>
    <t xml:space="preserve">          </t>
  </si>
  <si>
    <t>Поса дов. оклад</t>
  </si>
  <si>
    <t xml:space="preserve">Розряд </t>
  </si>
  <si>
    <t>Завідув. І  старшинство</t>
  </si>
  <si>
    <t>За санітар ний автомо біль</t>
  </si>
  <si>
    <t>Загальнолікарняний персонал</t>
  </si>
  <si>
    <t>Головна медична сестра Вища</t>
  </si>
  <si>
    <t>Медичний статистик Вища кат.</t>
  </si>
  <si>
    <t>Сестра медична з дієтичного харчування   Вища кат.</t>
  </si>
  <si>
    <t xml:space="preserve">   </t>
  </si>
  <si>
    <t>Сестра медична стерилізації І кат.</t>
  </si>
  <si>
    <t>Сестра медична пункту зберігання крові Вища кат.</t>
  </si>
  <si>
    <t>Програміст ЕОМ І кат</t>
  </si>
  <si>
    <t>Дезинфектор</t>
  </si>
  <si>
    <t>Прибиральниця службових приміщень</t>
  </si>
  <si>
    <t>Молодша медична сестра стерилізації</t>
  </si>
  <si>
    <t>Середні:</t>
  </si>
  <si>
    <t>Молодші:</t>
  </si>
  <si>
    <t>Інші:</t>
  </si>
  <si>
    <t>Поліклініка</t>
  </si>
  <si>
    <t>Лікар- дерматовенеролог  б/кат.</t>
  </si>
  <si>
    <t>Лікар-онколог б/кат.</t>
  </si>
  <si>
    <t>Лікар-отоларинголог Вища кат.</t>
  </si>
  <si>
    <t>Лікар-ендокринолог Вища кат.</t>
  </si>
  <si>
    <t>Лікар- інфекціоніст кабінету"Довіра" б/кат.</t>
  </si>
  <si>
    <t>Лікар-нарколог дільничний І кат.</t>
  </si>
  <si>
    <t>Лікар- невропатолог Вища кат.</t>
  </si>
  <si>
    <t>Лікар- психіатр  ІІ кат.</t>
  </si>
  <si>
    <t>Лікар-ортопед-травматолог І кат.</t>
  </si>
  <si>
    <t>Лікар – ортопед-травматолог дитячий б/к</t>
  </si>
  <si>
    <t>Лікар- хірург І кат.</t>
  </si>
  <si>
    <t>Лікар-хірург дитячий б/к</t>
  </si>
  <si>
    <t>Лікар-офтальмолог б/к</t>
  </si>
  <si>
    <t>Лікар з ультразвукової діагностики І кат.</t>
  </si>
  <si>
    <t>Лікар з ультразвукової діаг ностики (жін.консул.)Ікат.</t>
  </si>
  <si>
    <t>Лікар  - уролог дитячий б/к</t>
  </si>
  <si>
    <t xml:space="preserve">Лікар –інфекціоніст дитячий КІЗ кабінету  б/к  </t>
  </si>
  <si>
    <t>Лікар– інфекціоніст  КІЗ кабінету . ІІ кат.</t>
  </si>
  <si>
    <t>Лікар-ендоскопіст б/кат.</t>
  </si>
  <si>
    <t>Лікар-кардіолог Вища кат.</t>
  </si>
  <si>
    <t>Лікар-епідеміолог Вища кат.</t>
  </si>
  <si>
    <t>Лікар – стоматолог  І кат.</t>
  </si>
  <si>
    <t>Лікар інтерн радіологія</t>
  </si>
  <si>
    <t>Лікар профпатолог б/кат.</t>
  </si>
  <si>
    <t>Лікар терапевт Вища</t>
  </si>
  <si>
    <t>Лікар інтерн неврологія</t>
  </si>
  <si>
    <t>Лікар нейрохірург</t>
  </si>
  <si>
    <t>Лікар невролог</t>
  </si>
  <si>
    <t>Лікар уролог</t>
  </si>
  <si>
    <t>Лікар інтерн анестезіологія</t>
  </si>
  <si>
    <t>Лікар - інтерн з офтальмології</t>
  </si>
  <si>
    <t xml:space="preserve">Жіноча консультація                    </t>
  </si>
  <si>
    <t>Завідуючий жіночою консультацією І кат.</t>
  </si>
  <si>
    <t>Лікар акушер-гінеколог І кат.</t>
  </si>
  <si>
    <t>Лікар терапевт (жіночої консультації) Вища кат.</t>
  </si>
  <si>
    <r>
      <t xml:space="preserve">           </t>
    </r>
    <r>
      <rPr>
        <b/>
        <sz val="30"/>
        <rFont val="Times New Roman"/>
        <family val="1"/>
      </rPr>
      <t>Лікарі всього:</t>
    </r>
  </si>
  <si>
    <t xml:space="preserve">           </t>
  </si>
  <si>
    <r>
      <t xml:space="preserve">                                                                                                         С</t>
    </r>
    <r>
      <rPr>
        <b/>
        <sz val="30"/>
        <rFont val="Times New Roman"/>
        <family val="1"/>
      </rPr>
      <t>ередній персонал</t>
    </r>
  </si>
  <si>
    <t>Старша сестра медична поліклініки І кат.</t>
  </si>
  <si>
    <t>Сестра медична полік лініки (процедурна) І кат.</t>
  </si>
  <si>
    <t>Сестра медична полік лініки  (нарколога)І кат.</t>
  </si>
  <si>
    <t>Сестра медична поліклі ніки (дерматовенеролога)Вища</t>
  </si>
  <si>
    <t>Сестра медична жіночої консультації Вища кат.</t>
  </si>
  <si>
    <t>Акушерка жіночої консультації Вища кат.</t>
  </si>
  <si>
    <t>Сестра медична кабінету "Довіра"Вища кат.</t>
  </si>
  <si>
    <t>Сестра медична полікліні ки (отоларингологічного кабінету)б/кат.</t>
  </si>
  <si>
    <t>Сестра медична полік лініки (хірургічного кабінету)Вища</t>
  </si>
  <si>
    <t>Сестра медична полік лініки (офтальмоло гічного кабінету)Вища кат.</t>
  </si>
  <si>
    <t>Сестра медична полік лініки (травматологічного кабінету) Вища кат.</t>
  </si>
  <si>
    <t>Сестра медична полік лініки (неврологічного кабінету) Вища кат.</t>
  </si>
  <si>
    <t>Сестра мед. поліклініки  (ендокринолог. кабінету)  Вища кат.</t>
  </si>
  <si>
    <t>Сестра медична полікліні ки (інфекційного кабінету) Вища кат.</t>
  </si>
  <si>
    <t>Сестра медична полікліні ки (ендоскопічного к-ту)б/ кат.</t>
  </si>
  <si>
    <t>Сестра медична полік лініки (уролога) ІІ кат.</t>
  </si>
  <si>
    <t>Сестра медична полік лініки (онколога)Вища кат.</t>
  </si>
  <si>
    <t>Сестра медична полік лініки з стоматології І кат.</t>
  </si>
  <si>
    <t>Сестра медична полікліні ки (психіатра) Вища кат.</t>
  </si>
  <si>
    <t>Сестра медична  поліклініки (кардіолога) б/кат.</t>
  </si>
  <si>
    <t>Сестра медична реєстратор І кат.</t>
  </si>
  <si>
    <t>Сестра медична кабінету профоглядів</t>
  </si>
  <si>
    <t>Сестра медична поліклініки (лікаря - профпатолога) Вища</t>
  </si>
  <si>
    <t>Сестра медична поліклініки (лікаря - терапевта) Вища</t>
  </si>
  <si>
    <t>Сестра медична (ургентна)</t>
  </si>
  <si>
    <t xml:space="preserve">Сестра медична  лікарського кабінету Вища </t>
  </si>
  <si>
    <t>Молодший персонал</t>
  </si>
  <si>
    <t>Сестра господарка поліклініки</t>
  </si>
  <si>
    <t>Молодша медсестра – прибиральниці поліклініки</t>
  </si>
  <si>
    <t>Туберкульозний кабінет</t>
  </si>
  <si>
    <t>Лікар-фтізіатр б/кат.</t>
  </si>
  <si>
    <t xml:space="preserve">Лікар-фтізіатр дитячий </t>
  </si>
  <si>
    <t>Лікарі</t>
  </si>
  <si>
    <t>Середні</t>
  </si>
  <si>
    <r>
      <t>Всього по поліклініці</t>
    </r>
    <r>
      <rPr>
        <i/>
        <sz val="30"/>
        <rFont val="Times New Roman"/>
        <family val="1"/>
      </rPr>
      <t xml:space="preserve">:           </t>
    </r>
  </si>
  <si>
    <r>
      <t xml:space="preserve">                               лікарі</t>
    </r>
    <r>
      <rPr>
        <sz val="30"/>
        <rFont val="Times New Roman"/>
        <family val="1"/>
      </rPr>
      <t xml:space="preserve">:           </t>
    </r>
  </si>
  <si>
    <t>Лікарі:</t>
  </si>
  <si>
    <t xml:space="preserve">             </t>
  </si>
  <si>
    <t xml:space="preserve">Фахівці з базою та </t>
  </si>
  <si>
    <t>неповною вищою мед. Освітою:</t>
  </si>
  <si>
    <t xml:space="preserve">        </t>
  </si>
  <si>
    <t>Відділення відновлюючого лікування</t>
  </si>
  <si>
    <t>Фізіотерапевтичний кабінет</t>
  </si>
  <si>
    <t>Лікар з лікувальної фізкультури б/кат.</t>
  </si>
  <si>
    <t>Лікар фізіотерапевт б/кат.</t>
  </si>
  <si>
    <t>Сестра медична з фізіотерапії Вища кат.</t>
  </si>
  <si>
    <t>Сестра медична з фізіотерапії б/ кат.</t>
  </si>
  <si>
    <t>Інструктор з фізкультури лікувальної б/к.</t>
  </si>
  <si>
    <t>Сестра медична з масажу б/к.</t>
  </si>
  <si>
    <t xml:space="preserve">Сестра медична з масажу Вища </t>
  </si>
  <si>
    <t>Молодша медсестра фізіотерапевтичного каінету</t>
  </si>
  <si>
    <t>Фахівці:</t>
  </si>
  <si>
    <t>Операційний блок</t>
  </si>
  <si>
    <t>Старша сестра медична операційна Вища кат.</t>
  </si>
  <si>
    <t>Сестра медична операційна Вища кат.</t>
  </si>
  <si>
    <t>Сестра медична операційна б/кат.</t>
  </si>
  <si>
    <t>Молодша медсестра – приб. операційна</t>
  </si>
  <si>
    <t>Разом :</t>
  </si>
  <si>
    <t>Приймальне відділення</t>
  </si>
  <si>
    <t>Старша сестра медична Вища кат.</t>
  </si>
  <si>
    <t>Сестра медична Вища кат.</t>
  </si>
  <si>
    <t>Сестра медична І кат.</t>
  </si>
  <si>
    <t>Молодша медсестра – приб.</t>
  </si>
  <si>
    <t>Відділення анестезіології з ліжками для інтенсивної терапії 6 ліжок</t>
  </si>
  <si>
    <t>Завідувач реанімаційним відділенням лікар-анестезіолог  І кат.</t>
  </si>
  <si>
    <t>Лікар анестезіолог І кат.</t>
  </si>
  <si>
    <t>Лікар анестезіолог Вища</t>
  </si>
  <si>
    <t>Старша сестра медична стаціонару Вища  кат.</t>
  </si>
  <si>
    <t>Сестра медична з анестезіології Вища кат.</t>
  </si>
  <si>
    <t>Сестра медична стаціонару (палатна) Вища кат.</t>
  </si>
  <si>
    <t>Лаборант клініко-діагности чної лабораторії стаціонару Вища кат.</t>
  </si>
  <si>
    <t>Молодша медсестра  - приб. Стаціонару (палатна)</t>
  </si>
  <si>
    <t xml:space="preserve">                                                                              Терапевтичне відділення на 88 ліжок</t>
  </si>
  <si>
    <t xml:space="preserve">Завідувач терапевтичним відділенням лікар-терапевт Вища </t>
  </si>
  <si>
    <t>Лікар – терапевт Вища кат.</t>
  </si>
  <si>
    <t>Лікар - невропатолог</t>
  </si>
  <si>
    <t>Лікар - інфекціоніст</t>
  </si>
  <si>
    <t>Лікар - педіатр</t>
  </si>
  <si>
    <t>Старша сестра медична стаціонару Вища кат.</t>
  </si>
  <si>
    <t>Сестра медична процедурна Вища кат.</t>
  </si>
  <si>
    <t>Сестра медична маніпуляційна б/кат</t>
  </si>
  <si>
    <t xml:space="preserve">Сестра медична  стаціонару (палатна) Вища </t>
  </si>
  <si>
    <t>Молодша медсестра – приб.  Стаціонару (палатна)</t>
  </si>
  <si>
    <t>Сестра господарка</t>
  </si>
  <si>
    <t>Молодша медична сестра - буфетниця</t>
  </si>
  <si>
    <t>Хірургічне відділення на 26 ліжок</t>
  </si>
  <si>
    <t>Завідувач хірургічним відділенням лікар-хірург І кат.</t>
  </si>
  <si>
    <t>Лікар-ортопед- травматолог б/кат.</t>
  </si>
  <si>
    <t>Лікар хірург (ург.)  І кат.</t>
  </si>
  <si>
    <t>Лікар акушер-гінеколог</t>
  </si>
  <si>
    <t>Лікар акушер-гінеколог(ургентний)</t>
  </si>
  <si>
    <t>Старша сестра мед стаціонару б/кат.</t>
  </si>
  <si>
    <t>Сестра медична(процедурна) б/кат.</t>
  </si>
  <si>
    <t>Сестра медична(перев'язочна) б/кат.</t>
  </si>
  <si>
    <t>Молодша медична сестра (перев'язочна)</t>
  </si>
  <si>
    <t>Молодша медсестра – приб. Стаціонару (палатна)</t>
  </si>
  <si>
    <t>Молодша медична сестра -буфетниця</t>
  </si>
  <si>
    <t xml:space="preserve">                                                    Допоміжні лікувально-діагностичні підрозділи та аптека</t>
  </si>
  <si>
    <t>фармацевт І кат.</t>
  </si>
  <si>
    <t>Фасувальник медичних виробів</t>
  </si>
  <si>
    <t>Молодша медсестра - аптеки</t>
  </si>
  <si>
    <r>
      <t xml:space="preserve">                                                                         </t>
    </r>
    <r>
      <rPr>
        <b/>
        <u val="single"/>
        <sz val="38"/>
        <rFont val="Times New Roman"/>
        <family val="1"/>
      </rPr>
      <t xml:space="preserve">        Відділення патанатомії</t>
    </r>
  </si>
  <si>
    <t>Відділення патанатомії</t>
  </si>
  <si>
    <t>Лікар патологоанатом  б/кат</t>
  </si>
  <si>
    <t>Молодша медсестра</t>
  </si>
  <si>
    <t>Клініко-діагностична лабораторія</t>
  </si>
  <si>
    <t xml:space="preserve">Завідувач клініко-діагностичною лабораторією Вища </t>
  </si>
  <si>
    <t>Лікар - лаборант Вища кат.</t>
  </si>
  <si>
    <t>Лаборант клініко-діагност. лабораторії Вища кат.</t>
  </si>
  <si>
    <t>Лаборант клініко-діагност. лабораторії Ікат.</t>
  </si>
  <si>
    <t>Молодша медсестра- приб.</t>
  </si>
  <si>
    <t xml:space="preserve"> Кабінет функціональної діагностики</t>
  </si>
  <si>
    <t>Лікар з функціональної діагностики Вища кат.</t>
  </si>
  <si>
    <t>Сестра медична з функціональної діагностики Вища кат.</t>
  </si>
  <si>
    <t xml:space="preserve">               Рентгенівське відділення</t>
  </si>
  <si>
    <t>Завідувач рентгенологічним відділенням І кат.</t>
  </si>
  <si>
    <t>Лікар рентгенолог для флюорографічного обстеження б/кат.</t>
  </si>
  <si>
    <t>Лікар рентгенолог І кат.</t>
  </si>
  <si>
    <t>Рентгенлаборант Вища кат.</t>
  </si>
  <si>
    <t>Рентгенлаборант ІІ кат.</t>
  </si>
  <si>
    <t>Рентгенлаборант б/кат.</t>
  </si>
  <si>
    <t xml:space="preserve">Відділення екстренної медичної допомоги </t>
  </si>
  <si>
    <t xml:space="preserve">Завідувач екстренної медичної допомоги, лікар з медицини невідкладних станів </t>
  </si>
  <si>
    <t xml:space="preserve">Лікар з медицини невідкладних станів </t>
  </si>
  <si>
    <t>Старша сестра медична відділення екстренної медичної допомоги Вища кат.</t>
  </si>
  <si>
    <t>Сестра медична (денна) відділення екстренної медичної допомоги Вища кат.</t>
  </si>
  <si>
    <t>Сестра медична відділення екстренної медичної допомоги Вища кат.</t>
  </si>
  <si>
    <t>Сестра господиня відділення екстренної медичної допомоги</t>
  </si>
  <si>
    <t>Молодша медсестра (санітарка) відділення екстренної медичної допомоги</t>
  </si>
  <si>
    <t xml:space="preserve">Лікар приймального </t>
  </si>
  <si>
    <t>Старша сестра медична  Вища кат.</t>
  </si>
  <si>
    <t>ВСЬОГО: ПО КНП "Тетіївська ЦЛ "</t>
  </si>
  <si>
    <t>Інших:</t>
  </si>
  <si>
    <t>"ПОГОДЖЕНО"</t>
  </si>
  <si>
    <t>"ЗАТВЕРДЖУЮ"</t>
  </si>
  <si>
    <t>штат в кількості 265,25 штатних одиниць</t>
  </si>
  <si>
    <t>з місячним фондом заробітної плати:</t>
  </si>
  <si>
    <t>Голова Тетіївської міської ради</t>
  </si>
  <si>
    <t>Богдан БАЛАГУРА</t>
  </si>
  <si>
    <t>Директор</t>
  </si>
  <si>
    <t>Дмитро ПОТІЄНКО</t>
  </si>
  <si>
    <t>М.П.</t>
  </si>
  <si>
    <t>підпис</t>
  </si>
  <si>
    <t>(число, місяць, рік)</t>
  </si>
  <si>
    <t>Титульний список</t>
  </si>
  <si>
    <t>До штатного розпису</t>
  </si>
  <si>
    <t>№  пп</t>
  </si>
  <si>
    <t>Найменування закладів</t>
  </si>
  <si>
    <t>Місце знаходження</t>
  </si>
  <si>
    <t>К-ть закладів</t>
  </si>
  <si>
    <t>К-ть ліжок</t>
  </si>
  <si>
    <t>Потужнісь амб.полікл.</t>
  </si>
  <si>
    <t>К-ть л/днів на</t>
  </si>
  <si>
    <t xml:space="preserve">Разом </t>
  </si>
  <si>
    <t>ФЗП</t>
  </si>
  <si>
    <t>В тому числі</t>
  </si>
  <si>
    <t>В т. ч. Спеціалісти немедики</t>
  </si>
  <si>
    <t>місто</t>
  </si>
  <si>
    <t>село</t>
  </si>
  <si>
    <t>з 01.01.</t>
  </si>
  <si>
    <t>штати</t>
  </si>
  <si>
    <t>лікарі</t>
  </si>
  <si>
    <t xml:space="preserve">Фахівці </t>
  </si>
  <si>
    <t>молодші</t>
  </si>
  <si>
    <t>інші</t>
  </si>
  <si>
    <t>Штат од</t>
  </si>
  <si>
    <t>Тетіївська ЦЛ</t>
  </si>
  <si>
    <t>м.Тетіїв</t>
  </si>
  <si>
    <t>Всього:</t>
  </si>
  <si>
    <t>Статистик</t>
  </si>
  <si>
    <t>Бухгалтер з обліку платних послуг</t>
  </si>
  <si>
    <t>Лікар інтерн ортопедія і травматологія</t>
  </si>
  <si>
    <t>Лікар-отоларинголог дит. Вища кат.</t>
  </si>
  <si>
    <t>Ерготерапевт</t>
  </si>
  <si>
    <t>Лікар психотерапевт</t>
  </si>
  <si>
    <t>Психолог</t>
  </si>
  <si>
    <t>Лікар хірург   Вища кат.</t>
  </si>
  <si>
    <t>Лікар УЗД</t>
  </si>
  <si>
    <t>Сестра медична (лікаря психотерапевта)</t>
  </si>
  <si>
    <t>Сестра медична соц.прав. Допомоги</t>
  </si>
  <si>
    <t>Лікар-офтальмолог б/к(ургентний)</t>
  </si>
  <si>
    <t>Комунального некомерційного підприємства "Тетіївська центральна лікарня" Тетіївської міської ради                                                                       з    01.01.2024  року</t>
  </si>
  <si>
    <t>2024 рік</t>
  </si>
  <si>
    <t>один мільйон сімсот дев'zнадцять тисяч сімдесят вісім гривень 69 коп.</t>
  </si>
  <si>
    <t>Додаток до рішення 26 сесії Тетіївської міської ради VIII скликання 12.03.2024 №1215-26-VIII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</si>
</sst>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"/>
    <numFmt numFmtId="181" formatCode="0.0"/>
    <numFmt numFmtId="182" formatCode="#,##0.00\ _г_р_н_."/>
  </numFmts>
  <fonts count="97">
    <font>
      <sz val="10"/>
      <name val="Arial Cyr"/>
      <family val="2"/>
    </font>
    <font>
      <sz val="11"/>
      <name val="Calibri"/>
      <family val="2"/>
    </font>
    <font>
      <sz val="14"/>
      <name val="Arial Cyr"/>
      <family val="2"/>
    </font>
    <font>
      <sz val="12"/>
      <name val="Times New Roman"/>
      <family val="1"/>
    </font>
    <font>
      <b/>
      <sz val="13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7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u val="single"/>
      <sz val="14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38"/>
      <name val="Arial Cyr"/>
      <family val="2"/>
    </font>
    <font>
      <sz val="16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Arial Cyr"/>
      <family val="2"/>
    </font>
    <font>
      <b/>
      <i/>
      <u val="single"/>
      <sz val="20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sz val="30"/>
      <name val="Arial Cyr"/>
      <family val="2"/>
    </font>
    <font>
      <b/>
      <u val="single"/>
      <sz val="30"/>
      <name val="Times New Roman"/>
      <family val="1"/>
    </font>
    <font>
      <sz val="25"/>
      <name val="Times New Roman"/>
      <family val="1"/>
    </font>
    <font>
      <b/>
      <sz val="25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i/>
      <sz val="28"/>
      <name val="Times New Roman"/>
      <family val="1"/>
    </font>
    <font>
      <i/>
      <sz val="28"/>
      <name val="Times New Roman"/>
      <family val="1"/>
    </font>
    <font>
      <sz val="22"/>
      <name val="Times New Roman"/>
      <family val="1"/>
    </font>
    <font>
      <sz val="30"/>
      <color indexed="10"/>
      <name val="Arial Cyr"/>
      <family val="2"/>
    </font>
    <font>
      <b/>
      <sz val="30"/>
      <name val="Arial Cyr"/>
      <family val="2"/>
    </font>
    <font>
      <b/>
      <i/>
      <sz val="30"/>
      <name val="Times New Roman"/>
      <family val="1"/>
    </font>
    <font>
      <b/>
      <i/>
      <sz val="30"/>
      <name val="Arial Cyr"/>
      <family val="2"/>
    </font>
    <font>
      <sz val="30"/>
      <color indexed="8"/>
      <name val="Times New Roman"/>
      <family val="1"/>
    </font>
    <font>
      <b/>
      <sz val="38"/>
      <name val="Times New Roman"/>
      <family val="1"/>
    </font>
    <font>
      <sz val="45"/>
      <name val="Arial Cyr"/>
      <family val="2"/>
    </font>
    <font>
      <b/>
      <sz val="30"/>
      <color indexed="8"/>
      <name val="Times New Roman"/>
      <family val="1"/>
    </font>
    <font>
      <b/>
      <u val="single"/>
      <sz val="30"/>
      <name val="Arial Cyr"/>
      <family val="2"/>
    </font>
    <font>
      <b/>
      <u val="single"/>
      <sz val="38"/>
      <name val="Times New Roman"/>
      <family val="1"/>
    </font>
    <font>
      <b/>
      <i/>
      <sz val="28"/>
      <name val="Arial Cyr"/>
      <family val="2"/>
    </font>
    <font>
      <i/>
      <sz val="30"/>
      <name val="Arial Cyr"/>
      <family val="2"/>
    </font>
    <font>
      <sz val="2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i/>
      <sz val="3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3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80" fillId="19" borderId="1" applyNumberFormat="0" applyAlignment="0" applyProtection="0"/>
    <xf numFmtId="9" fontId="0" fillId="0" borderId="0" applyFont="0" applyFill="0" applyBorder="0" applyAlignment="0" applyProtection="0"/>
    <xf numFmtId="0" fontId="81" fillId="20" borderId="0" applyNumberFormat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86" fillId="27" borderId="6" applyNumberFormat="0" applyAlignment="0" applyProtection="0"/>
    <xf numFmtId="0" fontId="87" fillId="0" borderId="0" applyNumberFormat="0" applyFill="0" applyBorder="0" applyAlignment="0" applyProtection="0"/>
    <xf numFmtId="0" fontId="88" fillId="28" borderId="0" applyNumberFormat="0" applyBorder="0" applyAlignment="0" applyProtection="0"/>
    <xf numFmtId="0" fontId="89" fillId="29" borderId="1" applyNumberFormat="0" applyAlignment="0" applyProtection="0"/>
    <xf numFmtId="0" fontId="50" fillId="0" borderId="0" applyNumberFormat="0" applyFill="0" applyBorder="0" applyAlignment="0" applyProtection="0"/>
    <xf numFmtId="0" fontId="90" fillId="0" borderId="7" applyNumberFormat="0" applyFill="0" applyAlignment="0" applyProtection="0"/>
    <xf numFmtId="0" fontId="91" fillId="30" borderId="0" applyNumberFormat="0" applyBorder="0" applyAlignment="0" applyProtection="0"/>
    <xf numFmtId="0" fontId="0" fillId="31" borderId="8" applyNumberFormat="0" applyFont="0" applyAlignment="0" applyProtection="0"/>
    <xf numFmtId="0" fontId="92" fillId="29" borderId="9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Border="1" applyAlignment="1">
      <alignment horizontal="center" vertical="center"/>
    </xf>
    <xf numFmtId="180" fontId="12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vertical="center" wrapText="1"/>
    </xf>
    <xf numFmtId="181" fontId="12" fillId="0" borderId="15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180" fontId="11" fillId="0" borderId="15" xfId="0" applyNumberFormat="1" applyFont="1" applyBorder="1" applyAlignment="1">
      <alignment horizontal="center" vertical="center" wrapText="1"/>
    </xf>
    <xf numFmtId="181" fontId="11" fillId="0" borderId="15" xfId="0" applyNumberFormat="1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2" fontId="0" fillId="32" borderId="0" xfId="0" applyNumberFormat="1" applyFill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" fontId="20" fillId="32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2" fontId="22" fillId="32" borderId="0" xfId="0" applyNumberFormat="1" applyFont="1" applyFill="1" applyAlignment="1">
      <alignment horizontal="center" vertical="center"/>
    </xf>
    <xf numFmtId="0" fontId="24" fillId="33" borderId="17" xfId="0" applyFont="1" applyFill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2" fontId="25" fillId="32" borderId="17" xfId="0" applyNumberFormat="1" applyFont="1" applyFill="1" applyBorder="1" applyAlignment="1">
      <alignment horizontal="center" vertical="center" wrapText="1"/>
    </xf>
    <xf numFmtId="4" fontId="25" fillId="32" borderId="17" xfId="0" applyNumberFormat="1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2" fontId="24" fillId="32" borderId="17" xfId="0" applyNumberFormat="1" applyFont="1" applyFill="1" applyBorder="1" applyAlignment="1">
      <alignment horizontal="center" vertical="center" wrapText="1"/>
    </xf>
    <xf numFmtId="2" fontId="24" fillId="0" borderId="1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5" fillId="0" borderId="21" xfId="0" applyFont="1" applyBorder="1" applyAlignment="1">
      <alignment vertical="center"/>
    </xf>
    <xf numFmtId="2" fontId="24" fillId="32" borderId="21" xfId="0" applyNumberFormat="1" applyFont="1" applyFill="1" applyBorder="1" applyAlignment="1">
      <alignment horizontal="center" vertical="center" wrapText="1"/>
    </xf>
    <xf numFmtId="181" fontId="24" fillId="33" borderId="21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2" fontId="24" fillId="3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2" fontId="27" fillId="32" borderId="0" xfId="0" applyNumberFormat="1" applyFont="1" applyFill="1" applyAlignment="1" applyProtection="1">
      <alignment horizontal="center" vertical="center"/>
      <protection locked="0"/>
    </xf>
    <xf numFmtId="0" fontId="24" fillId="0" borderId="17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1" fontId="24" fillId="32" borderId="22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right" vertical="center" wrapText="1"/>
    </xf>
    <xf numFmtId="0" fontId="25" fillId="0" borderId="19" xfId="0" applyFont="1" applyBorder="1" applyAlignment="1">
      <alignment vertical="center" wrapText="1"/>
    </xf>
    <xf numFmtId="2" fontId="25" fillId="32" borderId="19" xfId="0" applyNumberFormat="1" applyFont="1" applyFill="1" applyBorder="1" applyAlignment="1">
      <alignment horizontal="center" vertical="center" wrapText="1"/>
    </xf>
    <xf numFmtId="4" fontId="25" fillId="33" borderId="19" xfId="0" applyNumberFormat="1" applyFont="1" applyFill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vertical="center" wrapText="1"/>
    </xf>
    <xf numFmtId="0" fontId="25" fillId="32" borderId="19" xfId="0" applyFont="1" applyFill="1" applyBorder="1" applyAlignment="1">
      <alignment vertical="center"/>
    </xf>
    <xf numFmtId="4" fontId="25" fillId="0" borderId="17" xfId="0" applyNumberFormat="1" applyFont="1" applyBorder="1" applyAlignment="1">
      <alignment vertical="center" wrapText="1"/>
    </xf>
    <xf numFmtId="4" fontId="25" fillId="0" borderId="20" xfId="0" applyNumberFormat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2" fontId="25" fillId="32" borderId="24" xfId="0" applyNumberFormat="1" applyFont="1" applyFill="1" applyBorder="1" applyAlignment="1">
      <alignment horizontal="center" vertical="center" wrapText="1"/>
    </xf>
    <xf numFmtId="4" fontId="25" fillId="0" borderId="24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4" fontId="25" fillId="0" borderId="19" xfId="0" applyNumberFormat="1" applyFont="1" applyBorder="1" applyAlignment="1">
      <alignment vertical="center" wrapText="1"/>
    </xf>
    <xf numFmtId="0" fontId="25" fillId="0" borderId="2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2" fontId="24" fillId="32" borderId="19" xfId="0" applyNumberFormat="1" applyFont="1" applyFill="1" applyBorder="1" applyAlignment="1">
      <alignment horizontal="center" vertical="center" wrapText="1"/>
    </xf>
    <xf numFmtId="4" fontId="24" fillId="32" borderId="19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2" fontId="26" fillId="32" borderId="0" xfId="0" applyNumberFormat="1" applyFont="1" applyFill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5" fillId="0" borderId="19" xfId="0" applyFont="1" applyBorder="1" applyAlignment="1">
      <alignment vertical="center" wrapText="1"/>
    </xf>
    <xf numFmtId="2" fontId="25" fillId="32" borderId="19" xfId="0" applyNumberFormat="1" applyFont="1" applyFill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vertical="center"/>
    </xf>
    <xf numFmtId="2" fontId="24" fillId="32" borderId="19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2" fontId="24" fillId="32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4" fontId="25" fillId="0" borderId="19" xfId="0" applyNumberFormat="1" applyFont="1" applyBorder="1" applyAlignment="1">
      <alignment horizontal="right" vertical="center" wrapText="1"/>
    </xf>
    <xf numFmtId="4" fontId="25" fillId="0" borderId="17" xfId="0" applyNumberFormat="1" applyFont="1" applyBorder="1" applyAlignment="1">
      <alignment horizontal="right" vertical="center" wrapText="1"/>
    </xf>
    <xf numFmtId="4" fontId="95" fillId="0" borderId="17" xfId="0" applyNumberFormat="1" applyFont="1" applyBorder="1" applyAlignment="1">
      <alignment horizontal="right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4" fontId="24" fillId="0" borderId="17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" fontId="24" fillId="32" borderId="21" xfId="0" applyNumberFormat="1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vertical="center"/>
    </xf>
    <xf numFmtId="4" fontId="24" fillId="33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5" fillId="0" borderId="24" xfId="0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4" fontId="24" fillId="0" borderId="19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2" fontId="24" fillId="0" borderId="19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8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1" fontId="24" fillId="32" borderId="19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2" fontId="25" fillId="32" borderId="22" xfId="0" applyNumberFormat="1" applyFont="1" applyFill="1" applyBorder="1" applyAlignment="1">
      <alignment horizontal="center" vertical="center" wrapText="1"/>
    </xf>
    <xf numFmtId="4" fontId="25" fillId="32" borderId="22" xfId="0" applyNumberFormat="1" applyFont="1" applyFill="1" applyBorder="1" applyAlignment="1">
      <alignment horizontal="center" vertical="center" wrapText="1"/>
    </xf>
    <xf numFmtId="4" fontId="25" fillId="0" borderId="19" xfId="0" applyNumberFormat="1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vertical="center"/>
    </xf>
    <xf numFmtId="0" fontId="30" fillId="0" borderId="19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2" fontId="25" fillId="32" borderId="17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2" fontId="25" fillId="32" borderId="0" xfId="0" applyNumberFormat="1" applyFont="1" applyFill="1" applyAlignment="1">
      <alignment horizontal="center" vertical="center"/>
    </xf>
    <xf numFmtId="2" fontId="33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24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2" fillId="0" borderId="0" xfId="0" applyFont="1" applyAlignment="1">
      <alignment vertical="center"/>
    </xf>
    <xf numFmtId="2" fontId="32" fillId="32" borderId="0" xfId="0" applyNumberFormat="1" applyFont="1" applyFill="1" applyAlignment="1">
      <alignment horizontal="center" vertical="center"/>
    </xf>
    <xf numFmtId="0" fontId="28" fillId="0" borderId="2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10" fontId="28" fillId="0" borderId="19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1" fontId="29" fillId="32" borderId="19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justify" vertical="center"/>
    </xf>
    <xf numFmtId="0" fontId="25" fillId="0" borderId="22" xfId="0" applyFont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2" fontId="24" fillId="33" borderId="22" xfId="0" applyNumberFormat="1" applyFont="1" applyFill="1" applyBorder="1" applyAlignment="1">
      <alignment horizontal="center" vertical="center" wrapText="1"/>
    </xf>
    <xf numFmtId="0" fontId="25" fillId="32" borderId="17" xfId="0" applyFont="1" applyFill="1" applyBorder="1" applyAlignment="1">
      <alignment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" fontId="26" fillId="0" borderId="17" xfId="0" applyNumberFormat="1" applyFont="1" applyBorder="1" applyAlignment="1">
      <alignment vertical="center"/>
    </xf>
    <xf numFmtId="181" fontId="24" fillId="33" borderId="22" xfId="0" applyNumberFormat="1" applyFont="1" applyFill="1" applyBorder="1" applyAlignment="1">
      <alignment horizontal="center" vertical="center" wrapText="1"/>
    </xf>
    <xf numFmtId="4" fontId="24" fillId="0" borderId="19" xfId="0" applyNumberFormat="1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4" fontId="24" fillId="0" borderId="20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vertical="center"/>
    </xf>
    <xf numFmtId="4" fontId="33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4" fontId="33" fillId="0" borderId="0" xfId="0" applyNumberFormat="1" applyFont="1" applyAlignment="1">
      <alignment horizontal="right" vertical="center"/>
    </xf>
    <xf numFmtId="4" fontId="33" fillId="0" borderId="0" xfId="0" applyNumberFormat="1" applyFont="1" applyFill="1" applyAlignment="1">
      <alignment horizontal="right" vertical="center"/>
    </xf>
    <xf numFmtId="2" fontId="25" fillId="33" borderId="22" xfId="0" applyNumberFormat="1" applyFont="1" applyFill="1" applyBorder="1" applyAlignment="1">
      <alignment horizontal="right" vertical="center" wrapText="1"/>
    </xf>
    <xf numFmtId="0" fontId="24" fillId="0" borderId="17" xfId="0" applyFont="1" applyBorder="1" applyAlignment="1">
      <alignment vertical="center" wrapText="1"/>
    </xf>
    <xf numFmtId="2" fontId="24" fillId="32" borderId="17" xfId="0" applyNumberFormat="1" applyFont="1" applyFill="1" applyBorder="1" applyAlignment="1">
      <alignment horizontal="center" vertical="center" wrapText="1"/>
    </xf>
    <xf numFmtId="4" fontId="24" fillId="0" borderId="17" xfId="0" applyNumberFormat="1" applyFont="1" applyBorder="1" applyAlignment="1">
      <alignment horizontal="center"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20" xfId="0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vertical="center" wrapText="1"/>
    </xf>
    <xf numFmtId="4" fontId="25" fillId="0" borderId="17" xfId="0" applyNumberFormat="1" applyFont="1" applyBorder="1" applyAlignment="1">
      <alignment vertical="center"/>
    </xf>
    <xf numFmtId="4" fontId="25" fillId="0" borderId="19" xfId="0" applyNumberFormat="1" applyFont="1" applyFill="1" applyBorder="1" applyAlignment="1">
      <alignment vertical="center" wrapText="1"/>
    </xf>
    <xf numFmtId="4" fontId="25" fillId="0" borderId="19" xfId="0" applyNumberFormat="1" applyFont="1" applyFill="1" applyBorder="1" applyAlignment="1">
      <alignment vertical="center" wrapText="1"/>
    </xf>
    <xf numFmtId="4" fontId="25" fillId="0" borderId="22" xfId="0" applyNumberFormat="1" applyFont="1" applyFill="1" applyBorder="1" applyAlignment="1">
      <alignment vertical="center" wrapText="1"/>
    </xf>
    <xf numFmtId="4" fontId="25" fillId="0" borderId="17" xfId="0" applyNumberFormat="1" applyFont="1" applyFill="1" applyBorder="1" applyAlignment="1">
      <alignment vertical="center" wrapText="1"/>
    </xf>
    <xf numFmtId="4" fontId="26" fillId="0" borderId="20" xfId="0" applyNumberFormat="1" applyFont="1" applyBorder="1" applyAlignment="1">
      <alignment vertical="center"/>
    </xf>
    <xf numFmtId="4" fontId="25" fillId="0" borderId="25" xfId="0" applyNumberFormat="1" applyFont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right" vertical="center" wrapText="1"/>
    </xf>
    <xf numFmtId="4" fontId="25" fillId="33" borderId="19" xfId="0" applyNumberFormat="1" applyFont="1" applyFill="1" applyBorder="1" applyAlignment="1">
      <alignment vertical="center" wrapText="1"/>
    </xf>
    <xf numFmtId="0" fontId="24" fillId="0" borderId="24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0" fontId="25" fillId="0" borderId="10" xfId="0" applyFont="1" applyBorder="1" applyAlignment="1">
      <alignment vertical="center" wrapText="1"/>
    </xf>
    <xf numFmtId="4" fontId="25" fillId="32" borderId="19" xfId="0" applyNumberFormat="1" applyFont="1" applyFill="1" applyBorder="1" applyAlignment="1">
      <alignment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vertical="center" wrapText="1"/>
    </xf>
    <xf numFmtId="2" fontId="26" fillId="32" borderId="17" xfId="0" applyNumberFormat="1" applyFont="1" applyFill="1" applyBorder="1" applyAlignment="1">
      <alignment horizontal="center" vertical="center"/>
    </xf>
    <xf numFmtId="2" fontId="25" fillId="0" borderId="19" xfId="0" applyNumberFormat="1" applyFont="1" applyBorder="1" applyAlignment="1">
      <alignment horizontal="right" vertical="center" wrapText="1"/>
    </xf>
    <xf numFmtId="0" fontId="26" fillId="0" borderId="17" xfId="0" applyFont="1" applyBorder="1" applyAlignment="1">
      <alignment vertical="center"/>
    </xf>
    <xf numFmtId="0" fontId="25" fillId="0" borderId="20" xfId="0" applyFont="1" applyBorder="1" applyAlignment="1">
      <alignment vertical="center" wrapText="1"/>
    </xf>
    <xf numFmtId="2" fontId="24" fillId="32" borderId="0" xfId="0" applyNumberFormat="1" applyFont="1" applyFill="1" applyAlignment="1">
      <alignment horizontal="center" vertical="center"/>
    </xf>
    <xf numFmtId="0" fontId="36" fillId="0" borderId="0" xfId="0" applyFont="1" applyAlignment="1">
      <alignment vertical="center"/>
    </xf>
    <xf numFmtId="2" fontId="36" fillId="32" borderId="0" xfId="0" applyNumberFormat="1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4" fillId="0" borderId="20" xfId="0" applyFont="1" applyBorder="1" applyAlignment="1">
      <alignment vertical="center" wrapText="1"/>
    </xf>
    <xf numFmtId="2" fontId="25" fillId="32" borderId="23" xfId="0" applyNumberFormat="1" applyFont="1" applyFill="1" applyBorder="1" applyAlignment="1">
      <alignment horizontal="center" vertical="center" wrapText="1"/>
    </xf>
    <xf numFmtId="4" fontId="25" fillId="0" borderId="23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right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2" fontId="24" fillId="0" borderId="17" xfId="0" applyNumberFormat="1" applyFont="1" applyBorder="1" applyAlignment="1">
      <alignment horizontal="center" vertical="center" wrapText="1"/>
    </xf>
    <xf numFmtId="2" fontId="25" fillId="0" borderId="19" xfId="0" applyNumberFormat="1" applyFont="1" applyBorder="1" applyAlignment="1">
      <alignment horizontal="center" vertical="center" wrapText="1"/>
    </xf>
    <xf numFmtId="2" fontId="25" fillId="0" borderId="19" xfId="0" applyNumberFormat="1" applyFont="1" applyBorder="1" applyAlignment="1">
      <alignment vertical="center" wrapText="1"/>
    </xf>
    <xf numFmtId="2" fontId="25" fillId="0" borderId="19" xfId="0" applyNumberFormat="1" applyFont="1" applyBorder="1" applyAlignment="1">
      <alignment vertical="center" wrapText="1"/>
    </xf>
    <xf numFmtId="4" fontId="25" fillId="0" borderId="22" xfId="0" applyNumberFormat="1" applyFont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vertical="center" wrapText="1"/>
    </xf>
    <xf numFmtId="4" fontId="25" fillId="0" borderId="22" xfId="0" applyNumberFormat="1" applyFont="1" applyBorder="1" applyAlignment="1">
      <alignment vertical="center" wrapText="1"/>
    </xf>
    <xf numFmtId="2" fontId="25" fillId="0" borderId="17" xfId="0" applyNumberFormat="1" applyFont="1" applyBorder="1" applyAlignment="1">
      <alignment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4" fontId="25" fillId="0" borderId="25" xfId="0" applyNumberFormat="1" applyFont="1" applyFill="1" applyBorder="1" applyAlignment="1">
      <alignment horizontal="center" vertical="center" wrapText="1"/>
    </xf>
    <xf numFmtId="4" fontId="24" fillId="0" borderId="17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vertical="center" wrapText="1"/>
    </xf>
    <xf numFmtId="4" fontId="25" fillId="0" borderId="24" xfId="0" applyNumberFormat="1" applyFont="1" applyBorder="1" applyAlignment="1">
      <alignment vertical="center" wrapText="1"/>
    </xf>
    <xf numFmtId="4" fontId="24" fillId="32" borderId="0" xfId="0" applyNumberFormat="1" applyFont="1" applyFill="1" applyAlignment="1">
      <alignment vertical="center"/>
    </xf>
    <xf numFmtId="0" fontId="25" fillId="0" borderId="23" xfId="0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4" fontId="25" fillId="0" borderId="18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2" fontId="25" fillId="32" borderId="17" xfId="61" applyNumberFormat="1" applyFont="1" applyFill="1" applyBorder="1" applyAlignment="1">
      <alignment horizontal="center" vertical="center" wrapText="1"/>
    </xf>
    <xf numFmtId="2" fontId="24" fillId="32" borderId="17" xfId="61" applyNumberFormat="1" applyFont="1" applyFill="1" applyBorder="1" applyAlignment="1">
      <alignment horizontal="center" vertical="center"/>
    </xf>
    <xf numFmtId="2" fontId="25" fillId="0" borderId="19" xfId="0" applyNumberFormat="1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vertical="center" wrapText="1"/>
    </xf>
    <xf numFmtId="2" fontId="24" fillId="32" borderId="21" xfId="61" applyNumberFormat="1" applyFont="1" applyFill="1" applyBorder="1" applyAlignment="1">
      <alignment horizontal="center" vertical="center"/>
    </xf>
    <xf numFmtId="2" fontId="25" fillId="0" borderId="21" xfId="0" applyNumberFormat="1" applyFont="1" applyBorder="1" applyAlignment="1">
      <alignment horizontal="center" vertical="center" wrapText="1"/>
    </xf>
    <xf numFmtId="2" fontId="25" fillId="0" borderId="21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2" fontId="24" fillId="32" borderId="10" xfId="61" applyNumberFormat="1" applyFont="1" applyFill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2" fontId="24" fillId="32" borderId="0" xfId="61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right" vertical="center" wrapText="1"/>
    </xf>
    <xf numFmtId="0" fontId="25" fillId="32" borderId="17" xfId="0" applyFont="1" applyFill="1" applyBorder="1" applyAlignment="1">
      <alignment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vertical="center" wrapText="1"/>
    </xf>
    <xf numFmtId="2" fontId="25" fillId="32" borderId="17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2" fontId="24" fillId="0" borderId="17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2" fontId="25" fillId="32" borderId="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2" fontId="39" fillId="32" borderId="0" xfId="0" applyNumberFormat="1" applyFont="1" applyFill="1" applyAlignment="1">
      <alignment horizontal="center" vertical="center"/>
    </xf>
    <xf numFmtId="0" fontId="39" fillId="0" borderId="0" xfId="0" applyFont="1" applyAlignment="1">
      <alignment vertical="center"/>
    </xf>
    <xf numFmtId="2" fontId="38" fillId="0" borderId="0" xfId="0" applyNumberFormat="1" applyFont="1" applyFill="1" applyAlignment="1">
      <alignment vertical="center"/>
    </xf>
    <xf numFmtId="0" fontId="24" fillId="0" borderId="0" xfId="0" applyFont="1" applyAlignment="1">
      <alignment vertical="center"/>
    </xf>
    <xf numFmtId="2" fontId="24" fillId="0" borderId="0" xfId="0" applyNumberFormat="1" applyFont="1" applyFill="1" applyAlignment="1">
      <alignment vertical="center"/>
    </xf>
    <xf numFmtId="0" fontId="24" fillId="0" borderId="0" xfId="0" applyFont="1" applyBorder="1" applyAlignment="1">
      <alignment vertical="center"/>
    </xf>
    <xf numFmtId="2" fontId="25" fillId="32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181" fontId="24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4" fillId="32" borderId="17" xfId="0" applyFont="1" applyFill="1" applyBorder="1" applyAlignment="1">
      <alignment horizontal="center" vertical="center" wrapText="1"/>
    </xf>
    <xf numFmtId="0" fontId="24" fillId="32" borderId="2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32" borderId="20" xfId="0" applyFont="1" applyFill="1" applyBorder="1" applyAlignment="1">
      <alignment horizontal="right" vertical="center" wrapText="1"/>
    </xf>
    <xf numFmtId="0" fontId="25" fillId="32" borderId="19" xfId="0" applyFont="1" applyFill="1" applyBorder="1" applyAlignment="1">
      <alignment horizontal="left" vertical="center" wrapText="1"/>
    </xf>
    <xf numFmtId="4" fontId="25" fillId="0" borderId="19" xfId="0" applyNumberFormat="1" applyFont="1" applyFill="1" applyBorder="1" applyAlignment="1">
      <alignment horizontal="center" vertical="center" wrapText="1"/>
    </xf>
    <xf numFmtId="0" fontId="32" fillId="32" borderId="19" xfId="0" applyFont="1" applyFill="1" applyBorder="1" applyAlignment="1">
      <alignment horizontal="left" vertical="center" wrapText="1"/>
    </xf>
    <xf numFmtId="0" fontId="24" fillId="32" borderId="17" xfId="0" applyFont="1" applyFill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center" vertical="center"/>
    </xf>
    <xf numFmtId="2" fontId="25" fillId="32" borderId="22" xfId="0" applyNumberFormat="1" applyFont="1" applyFill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center" vertical="center" wrapText="1"/>
    </xf>
    <xf numFmtId="0" fontId="32" fillId="32" borderId="22" xfId="0" applyFont="1" applyFill="1" applyBorder="1" applyAlignment="1">
      <alignment horizontal="left" vertical="center" wrapText="1"/>
    </xf>
    <xf numFmtId="0" fontId="32" fillId="32" borderId="17" xfId="0" applyFont="1" applyFill="1" applyBorder="1" applyAlignment="1">
      <alignment horizontal="left" vertical="center" wrapText="1"/>
    </xf>
    <xf numFmtId="2" fontId="24" fillId="32" borderId="26" xfId="0" applyNumberFormat="1" applyFont="1" applyFill="1" applyBorder="1" applyAlignment="1">
      <alignment horizontal="center" vertical="center" wrapText="1"/>
    </xf>
    <xf numFmtId="2" fontId="25" fillId="0" borderId="26" xfId="0" applyNumberFormat="1" applyFont="1" applyFill="1" applyBorder="1" applyAlignment="1">
      <alignment horizontal="center" vertical="center" wrapText="1"/>
    </xf>
    <xf numFmtId="0" fontId="25" fillId="32" borderId="0" xfId="0" applyFont="1" applyFill="1" applyBorder="1" applyAlignment="1">
      <alignment horizontal="center" vertical="center" wrapText="1"/>
    </xf>
    <xf numFmtId="0" fontId="24" fillId="32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2" fontId="25" fillId="0" borderId="17" xfId="0" applyNumberFormat="1" applyFont="1" applyFill="1" applyBorder="1" applyAlignment="1">
      <alignment vertical="center" wrapText="1"/>
    </xf>
    <xf numFmtId="0" fontId="38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4" fontId="25" fillId="0" borderId="19" xfId="61" applyNumberFormat="1" applyFont="1" applyBorder="1" applyAlignment="1">
      <alignment horizontal="center" vertical="center" wrapText="1"/>
    </xf>
    <xf numFmtId="4" fontId="24" fillId="32" borderId="17" xfId="0" applyNumberFormat="1" applyFont="1" applyFill="1" applyBorder="1" applyAlignment="1">
      <alignment horizontal="center" vertical="center" wrapText="1"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21" xfId="0" applyNumberFormat="1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vertical="center"/>
    </xf>
    <xf numFmtId="4" fontId="24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40" fillId="0" borderId="17" xfId="0" applyNumberFormat="1" applyFont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4" fontId="25" fillId="0" borderId="19" xfId="61" applyNumberFormat="1" applyFont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" fontId="24" fillId="0" borderId="26" xfId="0" applyNumberFormat="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4" fontId="24" fillId="32" borderId="0" xfId="0" applyNumberFormat="1" applyFont="1" applyFill="1" applyBorder="1" applyAlignment="1">
      <alignment horizontal="center" vertical="center" wrapText="1"/>
    </xf>
    <xf numFmtId="4" fontId="24" fillId="33" borderId="0" xfId="61" applyNumberFormat="1" applyFont="1" applyFill="1" applyBorder="1" applyAlignment="1">
      <alignment horizontal="center" vertical="center" wrapText="1"/>
    </xf>
    <xf numFmtId="4" fontId="25" fillId="0" borderId="26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17" xfId="0" applyFont="1" applyBorder="1" applyAlignment="1">
      <alignment horizontal="right" vertical="center" wrapText="1"/>
    </xf>
    <xf numFmtId="2" fontId="26" fillId="0" borderId="0" xfId="0" applyNumberFormat="1" applyFont="1" applyAlignment="1">
      <alignment vertical="center"/>
    </xf>
    <xf numFmtId="2" fontId="24" fillId="32" borderId="0" xfId="0" applyNumberFormat="1" applyFont="1" applyFill="1" applyAlignment="1">
      <alignment horizontal="center" vertical="center"/>
    </xf>
    <xf numFmtId="182" fontId="25" fillId="0" borderId="0" xfId="0" applyNumberFormat="1" applyFont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2" fontId="42" fillId="32" borderId="0" xfId="0" applyNumberFormat="1" applyFont="1" applyFill="1" applyAlignment="1">
      <alignment horizontal="center" vertical="center"/>
    </xf>
    <xf numFmtId="2" fontId="24" fillId="32" borderId="22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2" fontId="24" fillId="32" borderId="26" xfId="0" applyNumberFormat="1" applyFont="1" applyFill="1" applyBorder="1" applyAlignment="1">
      <alignment horizontal="center" vertical="center" wrapText="1"/>
    </xf>
    <xf numFmtId="2" fontId="25" fillId="0" borderId="26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2" fontId="41" fillId="32" borderId="0" xfId="0" applyNumberFormat="1" applyFont="1" applyFill="1" applyAlignment="1">
      <alignment horizontal="center" vertical="center"/>
    </xf>
    <xf numFmtId="182" fontId="25" fillId="33" borderId="19" xfId="0" applyNumberFormat="1" applyFont="1" applyFill="1" applyBorder="1" applyAlignment="1">
      <alignment horizontal="center" vertical="center" wrapText="1"/>
    </xf>
    <xf numFmtId="182" fontId="25" fillId="0" borderId="26" xfId="0" applyNumberFormat="1" applyFont="1" applyBorder="1" applyAlignment="1">
      <alignment horizontal="center" vertical="center" wrapText="1"/>
    </xf>
    <xf numFmtId="43" fontId="24" fillId="0" borderId="26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43" fontId="25" fillId="0" borderId="0" xfId="61" applyFont="1" applyBorder="1" applyAlignment="1">
      <alignment horizontal="center" vertical="center" wrapText="1"/>
    </xf>
    <xf numFmtId="43" fontId="24" fillId="0" borderId="0" xfId="61" applyFont="1" applyBorder="1" applyAlignment="1">
      <alignment horizontal="center" vertical="center" wrapText="1"/>
    </xf>
    <xf numFmtId="2" fontId="24" fillId="0" borderId="0" xfId="0" applyNumberFormat="1" applyFont="1" applyAlignment="1">
      <alignment horizontal="center" vertical="center"/>
    </xf>
    <xf numFmtId="4" fontId="24" fillId="32" borderId="0" xfId="0" applyNumberFormat="1" applyFont="1" applyFill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0" fontId="25" fillId="33" borderId="19" xfId="0" applyFont="1" applyFill="1" applyBorder="1" applyAlignment="1">
      <alignment horizontal="center" vertical="center" wrapText="1"/>
    </xf>
    <xf numFmtId="182" fontId="31" fillId="0" borderId="26" xfId="0" applyNumberFormat="1" applyFont="1" applyBorder="1" applyAlignment="1">
      <alignment horizontal="center" vertical="center" wrapText="1"/>
    </xf>
    <xf numFmtId="182" fontId="25" fillId="0" borderId="0" xfId="61" applyNumberFormat="1" applyFont="1" applyBorder="1" applyAlignment="1">
      <alignment horizontal="center" vertical="center" wrapText="1"/>
    </xf>
    <xf numFmtId="182" fontId="24" fillId="0" borderId="0" xfId="61" applyNumberFormat="1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4" fontId="24" fillId="0" borderId="26" xfId="0" applyNumberFormat="1" applyFont="1" applyBorder="1" applyAlignment="1">
      <alignment horizontal="center" vertical="center" wrapText="1"/>
    </xf>
    <xf numFmtId="2" fontId="25" fillId="0" borderId="0" xfId="61" applyNumberFormat="1" applyFont="1" applyBorder="1" applyAlignment="1">
      <alignment horizontal="center" vertical="center" wrapText="1"/>
    </xf>
    <xf numFmtId="4" fontId="24" fillId="0" borderId="0" xfId="61" applyNumberFormat="1" applyFont="1" applyBorder="1" applyAlignment="1">
      <alignment horizontal="center" vertical="center" wrapText="1"/>
    </xf>
    <xf numFmtId="4" fontId="25" fillId="0" borderId="26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2" fontId="25" fillId="32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17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center" wrapText="1"/>
    </xf>
    <xf numFmtId="2" fontId="43" fillId="32" borderId="0" xfId="0" applyNumberFormat="1" applyFont="1" applyFill="1" applyAlignment="1">
      <alignment horizontal="center" vertical="center"/>
    </xf>
    <xf numFmtId="2" fontId="25" fillId="0" borderId="0" xfId="0" applyNumberFormat="1" applyFont="1" applyAlignment="1">
      <alignment vertical="center"/>
    </xf>
    <xf numFmtId="4" fontId="25" fillId="0" borderId="22" xfId="0" applyNumberFormat="1" applyFont="1" applyBorder="1" applyAlignment="1">
      <alignment horizontal="center" vertical="center" wrapText="1"/>
    </xf>
    <xf numFmtId="0" fontId="32" fillId="0" borderId="22" xfId="0" applyFont="1" applyBorder="1" applyAlignment="1">
      <alignment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33" borderId="19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2" fillId="32" borderId="19" xfId="0" applyFont="1" applyFill="1" applyBorder="1" applyAlignment="1">
      <alignment vertical="center" wrapText="1"/>
    </xf>
    <xf numFmtId="4" fontId="25" fillId="0" borderId="23" xfId="0" applyNumberFormat="1" applyFont="1" applyBorder="1" applyAlignment="1">
      <alignment horizontal="center" vertical="center" wrapText="1"/>
    </xf>
    <xf numFmtId="2" fontId="25" fillId="0" borderId="26" xfId="0" applyNumberFormat="1" applyFont="1" applyBorder="1" applyAlignment="1">
      <alignment horizontal="center" vertical="center" wrapText="1"/>
    </xf>
    <xf numFmtId="2" fontId="24" fillId="0" borderId="0" xfId="0" applyNumberFormat="1" applyFont="1" applyAlignment="1">
      <alignment vertical="center"/>
    </xf>
    <xf numFmtId="2" fontId="25" fillId="0" borderId="22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2" fontId="25" fillId="0" borderId="23" xfId="0" applyNumberFormat="1" applyFont="1" applyBorder="1" applyAlignment="1">
      <alignment horizontal="center" vertical="center" wrapText="1"/>
    </xf>
    <xf numFmtId="43" fontId="24" fillId="0" borderId="26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43" fontId="25" fillId="0" borderId="0" xfId="61" applyFont="1" applyBorder="1" applyAlignment="1">
      <alignment horizontal="center" vertical="center" wrapText="1"/>
    </xf>
    <xf numFmtId="4" fontId="24" fillId="32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4" fontId="43" fillId="0" borderId="0" xfId="0" applyNumberFormat="1" applyFont="1" applyAlignment="1">
      <alignment horizontal="center" vertical="center"/>
    </xf>
    <xf numFmtId="4" fontId="24" fillId="0" borderId="26" xfId="0" applyNumberFormat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43" fontId="24" fillId="0" borderId="0" xfId="61" applyFont="1" applyBorder="1" applyAlignment="1">
      <alignment horizontal="right" vertical="center" wrapText="1"/>
    </xf>
    <xf numFmtId="180" fontId="24" fillId="0" borderId="0" xfId="0" applyNumberFormat="1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181" fontId="24" fillId="0" borderId="0" xfId="0" applyNumberFormat="1" applyFont="1" applyAlignment="1">
      <alignment vertical="center"/>
    </xf>
    <xf numFmtId="0" fontId="25" fillId="0" borderId="17" xfId="0" applyFont="1" applyBorder="1" applyAlignment="1">
      <alignment horizontal="left" vertical="center" wrapText="1"/>
    </xf>
    <xf numFmtId="0" fontId="39" fillId="0" borderId="17" xfId="0" applyFont="1" applyBorder="1" applyAlignment="1">
      <alignment vertical="center" wrapText="1"/>
    </xf>
    <xf numFmtId="2" fontId="46" fillId="32" borderId="17" xfId="0" applyNumberFormat="1" applyFont="1" applyFill="1" applyBorder="1" applyAlignment="1">
      <alignment horizontal="center" vertical="center"/>
    </xf>
    <xf numFmtId="0" fontId="37" fillId="0" borderId="17" xfId="0" applyFont="1" applyBorder="1" applyAlignment="1">
      <alignment vertical="center"/>
    </xf>
    <xf numFmtId="2" fontId="48" fillId="32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9" fontId="25" fillId="0" borderId="17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4" fontId="40" fillId="0" borderId="17" xfId="0" applyNumberFormat="1" applyFont="1" applyBorder="1" applyAlignment="1">
      <alignment horizontal="center" vertical="center" wrapText="1"/>
    </xf>
    <xf numFmtId="4" fontId="24" fillId="0" borderId="19" xfId="61" applyNumberFormat="1" applyFont="1" applyBorder="1" applyAlignment="1">
      <alignment horizontal="center" vertical="center" wrapText="1"/>
    </xf>
    <xf numFmtId="4" fontId="24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 vertical="center"/>
    </xf>
    <xf numFmtId="4" fontId="43" fillId="0" borderId="0" xfId="0" applyNumberFormat="1" applyFont="1" applyFill="1" applyAlignment="1">
      <alignment vertical="center"/>
    </xf>
    <xf numFmtId="43" fontId="25" fillId="0" borderId="17" xfId="61" applyFont="1" applyBorder="1" applyAlignment="1">
      <alignment horizontal="center" vertical="center" wrapText="1"/>
    </xf>
    <xf numFmtId="43" fontId="24" fillId="0" borderId="17" xfId="61" applyFont="1" applyBorder="1" applyAlignment="1">
      <alignment horizontal="center" vertical="center" wrapText="1"/>
    </xf>
    <xf numFmtId="181" fontId="24" fillId="32" borderId="0" xfId="0" applyNumberFormat="1" applyFont="1" applyFill="1" applyBorder="1" applyAlignment="1">
      <alignment horizontal="center" vertical="center" wrapText="1"/>
    </xf>
    <xf numFmtId="4" fontId="46" fillId="32" borderId="17" xfId="0" applyNumberFormat="1" applyFont="1" applyFill="1" applyBorder="1" applyAlignment="1">
      <alignment vertical="center"/>
    </xf>
    <xf numFmtId="180" fontId="0" fillId="0" borderId="0" xfId="0" applyNumberFormat="1" applyAlignment="1">
      <alignment vertical="center"/>
    </xf>
    <xf numFmtId="4" fontId="48" fillId="32" borderId="17" xfId="0" applyNumberFormat="1" applyFont="1" applyFill="1" applyBorder="1" applyAlignment="1">
      <alignment horizontal="center" vertical="center"/>
    </xf>
    <xf numFmtId="0" fontId="25" fillId="0" borderId="23" xfId="0" applyFont="1" applyBorder="1" applyAlignment="1">
      <alignment vertical="center" wrapText="1"/>
    </xf>
    <xf numFmtId="0" fontId="25" fillId="32" borderId="19" xfId="0" applyFont="1" applyFill="1" applyBorder="1" applyAlignment="1">
      <alignment vertical="center" wrapText="1"/>
    </xf>
    <xf numFmtId="0" fontId="25" fillId="32" borderId="19" xfId="0" applyFont="1" applyFill="1" applyBorder="1" applyAlignment="1">
      <alignment vertical="center" wrapText="1"/>
    </xf>
    <xf numFmtId="4" fontId="25" fillId="32" borderId="19" xfId="0" applyNumberFormat="1" applyFont="1" applyFill="1" applyBorder="1" applyAlignment="1">
      <alignment horizontal="center" vertical="center" wrapText="1"/>
    </xf>
    <xf numFmtId="1" fontId="24" fillId="32" borderId="22" xfId="0" applyNumberFormat="1" applyFont="1" applyFill="1" applyBorder="1" applyAlignment="1">
      <alignment horizontal="center" vertical="center" wrapText="1"/>
    </xf>
    <xf numFmtId="2" fontId="11" fillId="0" borderId="27" xfId="61" applyNumberFormat="1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4" fontId="25" fillId="0" borderId="24" xfId="0" applyNumberFormat="1" applyFont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 horizontal="right" vertical="center" wrapText="1"/>
    </xf>
    <xf numFmtId="0" fontId="25" fillId="0" borderId="20" xfId="0" applyFont="1" applyBorder="1" applyAlignment="1">
      <alignment horizontal="right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2" fontId="25" fillId="0" borderId="24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4" fontId="26" fillId="0" borderId="24" xfId="0" applyNumberFormat="1" applyFont="1" applyBorder="1" applyAlignment="1">
      <alignment horizontal="center" vertical="center"/>
    </xf>
    <xf numFmtId="4" fontId="26" fillId="0" borderId="2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4" fontId="25" fillId="0" borderId="25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2" fontId="37" fillId="0" borderId="29" xfId="0" applyNumberFormat="1" applyFont="1" applyBorder="1" applyAlignment="1">
      <alignment horizontal="center" vertical="center"/>
    </xf>
    <xf numFmtId="2" fontId="37" fillId="0" borderId="18" xfId="0" applyNumberFormat="1" applyFont="1" applyBorder="1" applyAlignment="1">
      <alignment horizontal="center" vertical="center"/>
    </xf>
    <xf numFmtId="2" fontId="37" fillId="0" borderId="22" xfId="0" applyNumberFormat="1" applyFont="1" applyBorder="1" applyAlignment="1">
      <alignment horizontal="center" vertical="center"/>
    </xf>
    <xf numFmtId="2" fontId="37" fillId="0" borderId="29" xfId="0" applyNumberFormat="1" applyFont="1" applyFill="1" applyBorder="1" applyAlignment="1">
      <alignment horizontal="center" vertical="center"/>
    </xf>
    <xf numFmtId="2" fontId="37" fillId="0" borderId="18" xfId="0" applyNumberFormat="1" applyFont="1" applyFill="1" applyBorder="1" applyAlignment="1">
      <alignment horizontal="center" vertical="center"/>
    </xf>
    <xf numFmtId="2" fontId="37" fillId="0" borderId="22" xfId="0" applyNumberFormat="1" applyFont="1" applyFill="1" applyBorder="1" applyAlignment="1">
      <alignment horizontal="center" vertical="center"/>
    </xf>
    <xf numFmtId="2" fontId="37" fillId="33" borderId="29" xfId="0" applyNumberFormat="1" applyFont="1" applyFill="1" applyBorder="1" applyAlignment="1">
      <alignment horizontal="center" vertical="center"/>
    </xf>
    <xf numFmtId="2" fontId="37" fillId="33" borderId="18" xfId="0" applyNumberFormat="1" applyFont="1" applyFill="1" applyBorder="1" applyAlignment="1">
      <alignment horizontal="center" vertical="center"/>
    </xf>
    <xf numFmtId="2" fontId="37" fillId="33" borderId="22" xfId="0" applyNumberFormat="1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right" vertical="center" wrapText="1"/>
    </xf>
    <xf numFmtId="0" fontId="24" fillId="0" borderId="20" xfId="0" applyFont="1" applyBorder="1" applyAlignment="1">
      <alignment horizontal="right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32" borderId="30" xfId="0" applyFont="1" applyFill="1" applyBorder="1" applyAlignment="1">
      <alignment horizontal="center" vertical="center" wrapText="1"/>
    </xf>
    <xf numFmtId="0" fontId="24" fillId="32" borderId="2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 wrapText="1"/>
    </xf>
    <xf numFmtId="0" fontId="25" fillId="32" borderId="24" xfId="0" applyFont="1" applyFill="1" applyBorder="1" applyAlignment="1">
      <alignment horizontal="left" vertical="center" wrapText="1"/>
    </xf>
    <xf numFmtId="0" fontId="25" fillId="32" borderId="20" xfId="0" applyFont="1" applyFill="1" applyBorder="1" applyAlignment="1">
      <alignment horizontal="left" vertical="center" wrapText="1"/>
    </xf>
    <xf numFmtId="2" fontId="25" fillId="32" borderId="24" xfId="0" applyNumberFormat="1" applyFont="1" applyFill="1" applyBorder="1" applyAlignment="1">
      <alignment horizontal="center" vertical="center" wrapText="1"/>
    </xf>
    <xf numFmtId="2" fontId="25" fillId="32" borderId="20" xfId="0" applyNumberFormat="1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right" vertical="center" wrapText="1"/>
    </xf>
    <xf numFmtId="0" fontId="24" fillId="0" borderId="28" xfId="0" applyFont="1" applyFill="1" applyBorder="1" applyAlignment="1">
      <alignment horizontal="right" vertical="center" wrapText="1"/>
    </xf>
    <xf numFmtId="4" fontId="25" fillId="0" borderId="24" xfId="0" applyNumberFormat="1" applyFont="1" applyBorder="1" applyAlignment="1">
      <alignment horizontal="right" vertical="center" wrapText="1"/>
    </xf>
    <xf numFmtId="4" fontId="25" fillId="0" borderId="20" xfId="0" applyNumberFormat="1" applyFont="1" applyBorder="1" applyAlignment="1">
      <alignment horizontal="righ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2" fontId="29" fillId="32" borderId="24" xfId="0" applyNumberFormat="1" applyFont="1" applyFill="1" applyBorder="1" applyAlignment="1">
      <alignment horizontal="center" vertical="center" wrapText="1"/>
    </xf>
    <xf numFmtId="2" fontId="29" fillId="32" borderId="28" xfId="0" applyNumberFormat="1" applyFont="1" applyFill="1" applyBorder="1" applyAlignment="1">
      <alignment horizontal="center" vertical="center" wrapText="1"/>
    </xf>
    <xf numFmtId="2" fontId="29" fillId="32" borderId="2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2" fontId="28" fillId="32" borderId="24" xfId="0" applyNumberFormat="1" applyFont="1" applyFill="1" applyBorder="1" applyAlignment="1">
      <alignment horizontal="center" vertical="center" wrapText="1"/>
    </xf>
    <xf numFmtId="2" fontId="28" fillId="32" borderId="2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19" fillId="32" borderId="24" xfId="0" applyNumberFormat="1" applyFont="1" applyFill="1" applyBorder="1" applyAlignment="1">
      <alignment horizontal="center" vertical="center" wrapText="1"/>
    </xf>
    <xf numFmtId="2" fontId="19" fillId="32" borderId="20" xfId="0" applyNumberFormat="1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1" fontId="11" fillId="0" borderId="31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32" borderId="3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7:AC446"/>
  <sheetViews>
    <sheetView tabSelected="1" view="pageBreakPreview" zoomScale="30" zoomScaleNormal="75" zoomScaleSheetLayoutView="30" workbookViewId="0" topLeftCell="A1">
      <pane ySplit="12" topLeftCell="A417" activePane="bottomLeft" state="frozen"/>
      <selection pane="topLeft" activeCell="A1" sqref="A1"/>
      <selection pane="bottomLeft" activeCell="Q7" sqref="Q7:R9"/>
    </sheetView>
  </sheetViews>
  <sheetFormatPr defaultColWidth="9.00390625" defaultRowHeight="12.75"/>
  <cols>
    <col min="1" max="1" width="11.375" style="2" customWidth="1"/>
    <col min="2" max="2" width="77.25390625" style="2" customWidth="1"/>
    <col min="3" max="3" width="20.25390625" style="47" customWidth="1"/>
    <col min="4" max="4" width="29.00390625" style="2" customWidth="1"/>
    <col min="5" max="5" width="24.625" style="2" customWidth="1"/>
    <col min="6" max="6" width="24.25390625" style="2" customWidth="1"/>
    <col min="7" max="7" width="26.00390625" style="2" customWidth="1"/>
    <col min="8" max="8" width="23.75390625" style="2" customWidth="1"/>
    <col min="9" max="9" width="24.75390625" style="2" customWidth="1"/>
    <col min="10" max="10" width="23.75390625" style="2" customWidth="1"/>
    <col min="11" max="11" width="26.875" style="2" customWidth="1"/>
    <col min="12" max="12" width="26.375" style="2" customWidth="1"/>
    <col min="13" max="13" width="23.875" style="2" customWidth="1"/>
    <col min="14" max="14" width="26.25390625" style="2" customWidth="1"/>
    <col min="15" max="15" width="24.875" style="2" customWidth="1"/>
    <col min="16" max="16" width="26.75390625" style="2" customWidth="1"/>
    <col min="17" max="17" width="39.625" style="2" customWidth="1"/>
    <col min="18" max="18" width="20.25390625" style="2" customWidth="1"/>
    <col min="19" max="19" width="13.25390625" style="2" bestFit="1" customWidth="1"/>
    <col min="20" max="20" width="9.125" style="2" bestFit="1" customWidth="1"/>
    <col min="21" max="16384" width="9.125" style="2" customWidth="1"/>
  </cols>
  <sheetData>
    <row r="1" ht="50.25" customHeight="1" hidden="1"/>
    <row r="2" ht="9" customHeight="1" hidden="1"/>
    <row r="3" ht="6.75" customHeight="1" hidden="1"/>
    <row r="4" ht="0.75" customHeight="1" hidden="1"/>
    <row r="5" ht="12.75" hidden="1"/>
    <row r="6" ht="12.75" hidden="1"/>
    <row r="7" spans="17:18" ht="20.25" customHeight="1">
      <c r="Q7" s="538" t="s">
        <v>332</v>
      </c>
      <c r="R7" s="538"/>
    </row>
    <row r="8" spans="17:18" ht="20.25" customHeight="1">
      <c r="Q8" s="538"/>
      <c r="R8" s="538"/>
    </row>
    <row r="9" spans="17:18" ht="19.5" customHeight="1">
      <c r="Q9" s="539"/>
      <c r="R9" s="539"/>
    </row>
    <row r="10" spans="1:18" ht="24" customHeight="1">
      <c r="A10" s="414" t="s">
        <v>0</v>
      </c>
      <c r="B10" s="414" t="s">
        <v>1</v>
      </c>
      <c r="C10" s="511" t="s">
        <v>2</v>
      </c>
      <c r="D10" s="414" t="s">
        <v>3</v>
      </c>
      <c r="E10" s="504" t="s">
        <v>4</v>
      </c>
      <c r="F10" s="505"/>
      <c r="G10" s="505"/>
      <c r="H10" s="505"/>
      <c r="I10" s="505"/>
      <c r="J10" s="506"/>
      <c r="K10" s="513" t="s">
        <v>5</v>
      </c>
      <c r="L10" s="504" t="s">
        <v>6</v>
      </c>
      <c r="M10" s="505"/>
      <c r="N10" s="505"/>
      <c r="O10" s="507" t="s">
        <v>7</v>
      </c>
      <c r="P10" s="507"/>
      <c r="Q10" s="414" t="s">
        <v>8</v>
      </c>
      <c r="R10" s="414" t="s">
        <v>9</v>
      </c>
    </row>
    <row r="11" spans="1:18" ht="125.25" customHeight="1">
      <c r="A11" s="415"/>
      <c r="B11" s="415"/>
      <c r="C11" s="512"/>
      <c r="D11" s="415"/>
      <c r="E11" s="48" t="s">
        <v>10</v>
      </c>
      <c r="F11" s="48" t="s">
        <v>11</v>
      </c>
      <c r="G11" s="48" t="s">
        <v>12</v>
      </c>
      <c r="H11" s="48" t="s">
        <v>13</v>
      </c>
      <c r="I11" s="48" t="s">
        <v>14</v>
      </c>
      <c r="J11" s="48" t="s">
        <v>15</v>
      </c>
      <c r="K11" s="514"/>
      <c r="L11" s="48" t="s">
        <v>16</v>
      </c>
      <c r="M11" s="48" t="s">
        <v>17</v>
      </c>
      <c r="N11" s="48" t="s">
        <v>18</v>
      </c>
      <c r="O11" s="48" t="s">
        <v>19</v>
      </c>
      <c r="P11" s="48" t="s">
        <v>20</v>
      </c>
      <c r="Q11" s="415"/>
      <c r="R11" s="415"/>
    </row>
    <row r="12" spans="1:18" ht="25.5">
      <c r="A12" s="49">
        <v>1</v>
      </c>
      <c r="B12" s="50">
        <v>2</v>
      </c>
      <c r="C12" s="51">
        <v>3</v>
      </c>
      <c r="D12" s="50">
        <v>4</v>
      </c>
      <c r="E12" s="50">
        <v>5</v>
      </c>
      <c r="F12" s="52">
        <v>6</v>
      </c>
      <c r="G12" s="50">
        <v>7</v>
      </c>
      <c r="H12" s="50">
        <v>8</v>
      </c>
      <c r="I12" s="50">
        <v>9</v>
      </c>
      <c r="J12" s="50">
        <v>10</v>
      </c>
      <c r="K12" s="50">
        <v>11</v>
      </c>
      <c r="L12" s="50">
        <v>12</v>
      </c>
      <c r="M12" s="50">
        <v>13</v>
      </c>
      <c r="N12" s="50">
        <v>14</v>
      </c>
      <c r="O12" s="50">
        <v>15</v>
      </c>
      <c r="P12" s="50">
        <v>16</v>
      </c>
      <c r="Q12" s="50">
        <v>17</v>
      </c>
      <c r="R12" s="50">
        <v>18</v>
      </c>
    </row>
    <row r="13" spans="1:18" ht="26.25">
      <c r="A13" s="508" t="s">
        <v>21</v>
      </c>
      <c r="B13" s="509"/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09"/>
      <c r="N13" s="54"/>
      <c r="O13" s="95"/>
      <c r="P13" s="95"/>
      <c r="Q13" s="95"/>
      <c r="R13" s="95"/>
    </row>
    <row r="14" spans="1:18" ht="26.25">
      <c r="A14" s="499" t="s">
        <v>22</v>
      </c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4"/>
      <c r="O14" s="95"/>
      <c r="P14" s="95"/>
      <c r="Q14" s="95"/>
      <c r="R14" s="95"/>
    </row>
    <row r="15" spans="1:18" ht="26.25">
      <c r="A15" s="510" t="s">
        <v>23</v>
      </c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4"/>
      <c r="O15" s="95"/>
      <c r="P15" s="95"/>
      <c r="Q15" s="95"/>
      <c r="R15" s="95"/>
    </row>
    <row r="16" spans="1:18" ht="7.5" customHeight="1">
      <c r="A16" s="499"/>
      <c r="B16" s="500"/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500"/>
      <c r="N16" s="54"/>
      <c r="O16" s="95"/>
      <c r="P16" s="95"/>
      <c r="Q16" s="95"/>
      <c r="R16" s="95"/>
    </row>
    <row r="17" spans="1:18" ht="8.25" customHeight="1" hidden="1">
      <c r="A17" s="53"/>
      <c r="B17" s="54"/>
      <c r="C17" s="55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95"/>
      <c r="P17" s="95"/>
      <c r="Q17" s="95"/>
      <c r="R17" s="95"/>
    </row>
    <row r="18" spans="1:18" ht="46.5" customHeight="1">
      <c r="A18" s="56">
        <f>(A17+1)</f>
        <v>1</v>
      </c>
      <c r="B18" s="57" t="s">
        <v>24</v>
      </c>
      <c r="C18" s="58">
        <v>1</v>
      </c>
      <c r="D18" s="59">
        <v>20000</v>
      </c>
      <c r="E18" s="59"/>
      <c r="F18" s="59"/>
      <c r="G18" s="59"/>
      <c r="H18" s="59"/>
      <c r="I18" s="59"/>
      <c r="J18" s="59"/>
      <c r="K18" s="59">
        <f aca="true" t="shared" si="0" ref="K18:K23">SUM(D18:J18)</f>
        <v>20000</v>
      </c>
      <c r="L18" s="59"/>
      <c r="M18" s="59"/>
      <c r="N18" s="59"/>
      <c r="O18" s="59"/>
      <c r="P18" s="59"/>
      <c r="Q18" s="80">
        <f aca="true" t="shared" si="1" ref="Q18:Q23">SUM(K18:P18)*C18</f>
        <v>20000</v>
      </c>
      <c r="R18" s="118" t="s">
        <v>25</v>
      </c>
    </row>
    <row r="19" spans="1:20" ht="58.5" customHeight="1">
      <c r="A19" s="56">
        <f>(A18+1)</f>
        <v>2</v>
      </c>
      <c r="B19" s="60" t="s">
        <v>26</v>
      </c>
      <c r="C19" s="58">
        <v>1</v>
      </c>
      <c r="D19" s="59">
        <v>19000</v>
      </c>
      <c r="E19" s="59"/>
      <c r="F19" s="59"/>
      <c r="G19" s="59"/>
      <c r="H19" s="59"/>
      <c r="I19" s="59"/>
      <c r="J19" s="59"/>
      <c r="K19" s="59">
        <f t="shared" si="0"/>
        <v>19000</v>
      </c>
      <c r="L19" s="59"/>
      <c r="M19" s="59"/>
      <c r="N19" s="59"/>
      <c r="O19" s="59"/>
      <c r="P19" s="59"/>
      <c r="Q19" s="80">
        <f t="shared" si="1"/>
        <v>19000</v>
      </c>
      <c r="R19" s="119" t="s">
        <v>25</v>
      </c>
      <c r="T19" s="2" t="s">
        <v>27</v>
      </c>
    </row>
    <row r="20" spans="1:18" ht="76.5">
      <c r="A20" s="56">
        <v>3</v>
      </c>
      <c r="B20" s="60" t="s">
        <v>28</v>
      </c>
      <c r="C20" s="58">
        <v>1</v>
      </c>
      <c r="D20" s="59">
        <v>18000</v>
      </c>
      <c r="E20" s="59"/>
      <c r="F20" s="59"/>
      <c r="G20" s="59"/>
      <c r="H20" s="59"/>
      <c r="I20" s="59"/>
      <c r="J20" s="59"/>
      <c r="K20" s="59">
        <f t="shared" si="0"/>
        <v>18000</v>
      </c>
      <c r="L20" s="59"/>
      <c r="M20" s="59"/>
      <c r="N20" s="59"/>
      <c r="O20" s="59"/>
      <c r="P20" s="59"/>
      <c r="Q20" s="80">
        <f t="shared" si="1"/>
        <v>18000</v>
      </c>
      <c r="R20" s="119" t="s">
        <v>25</v>
      </c>
    </row>
    <row r="21" spans="1:18" ht="76.5">
      <c r="A21" s="56">
        <v>4</v>
      </c>
      <c r="B21" s="60" t="s">
        <v>29</v>
      </c>
      <c r="C21" s="58">
        <v>1</v>
      </c>
      <c r="D21" s="59">
        <v>19000</v>
      </c>
      <c r="E21" s="59"/>
      <c r="F21" s="59"/>
      <c r="G21" s="59"/>
      <c r="H21" s="59"/>
      <c r="I21" s="59"/>
      <c r="J21" s="59"/>
      <c r="K21" s="59">
        <f t="shared" si="0"/>
        <v>19000</v>
      </c>
      <c r="L21" s="59"/>
      <c r="M21" s="59"/>
      <c r="N21" s="59"/>
      <c r="O21" s="59"/>
      <c r="P21" s="59"/>
      <c r="Q21" s="80">
        <f t="shared" si="1"/>
        <v>19000</v>
      </c>
      <c r="R21" s="119" t="s">
        <v>25</v>
      </c>
    </row>
    <row r="22" spans="1:18" ht="38.25">
      <c r="A22" s="56">
        <v>5</v>
      </c>
      <c r="B22" s="60" t="s">
        <v>30</v>
      </c>
      <c r="C22" s="58">
        <v>1</v>
      </c>
      <c r="D22" s="59">
        <v>4920</v>
      </c>
      <c r="E22" s="59"/>
      <c r="F22" s="59"/>
      <c r="G22" s="59"/>
      <c r="H22" s="59"/>
      <c r="I22" s="59"/>
      <c r="J22" s="59"/>
      <c r="K22" s="59">
        <f t="shared" si="0"/>
        <v>4920</v>
      </c>
      <c r="L22" s="59"/>
      <c r="M22" s="59"/>
      <c r="N22" s="59"/>
      <c r="O22" s="59"/>
      <c r="P22" s="59"/>
      <c r="Q22" s="80">
        <f t="shared" si="1"/>
        <v>4920</v>
      </c>
      <c r="R22" s="119">
        <v>7</v>
      </c>
    </row>
    <row r="23" spans="1:18" ht="38.25">
      <c r="A23" s="56">
        <v>6</v>
      </c>
      <c r="B23" s="60" t="s">
        <v>31</v>
      </c>
      <c r="C23" s="58">
        <v>1</v>
      </c>
      <c r="D23" s="59">
        <v>5815</v>
      </c>
      <c r="E23" s="59"/>
      <c r="F23" s="59"/>
      <c r="G23" s="59"/>
      <c r="H23" s="59"/>
      <c r="I23" s="59"/>
      <c r="J23" s="59"/>
      <c r="K23" s="59">
        <f t="shared" si="0"/>
        <v>5815</v>
      </c>
      <c r="L23" s="59"/>
      <c r="M23" s="59"/>
      <c r="N23" s="59"/>
      <c r="O23" s="59"/>
      <c r="P23" s="59"/>
      <c r="Q23" s="80">
        <f t="shared" si="1"/>
        <v>5815</v>
      </c>
      <c r="R23" s="119">
        <v>10</v>
      </c>
    </row>
    <row r="24" spans="1:18" ht="58.5" customHeight="1">
      <c r="A24" s="57"/>
      <c r="B24" s="61" t="s">
        <v>32</v>
      </c>
      <c r="C24" s="62">
        <f>SUM(C18:C23)</f>
        <v>6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120">
        <f>SUM(Q18:Q23)</f>
        <v>86735</v>
      </c>
      <c r="R24" s="121"/>
    </row>
    <row r="25" spans="1:18" ht="54" customHeight="1">
      <c r="A25" s="64" t="s">
        <v>33</v>
      </c>
      <c r="B25" s="65"/>
      <c r="C25" s="66">
        <f>C19+C20+C18</f>
        <v>3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122">
        <f>Q19+Q20</f>
        <v>37000</v>
      </c>
      <c r="R25" s="123"/>
    </row>
    <row r="26" spans="1:18" ht="57" customHeight="1">
      <c r="A26" s="64" t="s">
        <v>34</v>
      </c>
      <c r="B26" s="68"/>
      <c r="C26" s="69">
        <f>C22+C23+C21</f>
        <v>3</v>
      </c>
      <c r="D26" s="68"/>
      <c r="E26" s="68"/>
      <c r="F26" s="68"/>
      <c r="G26" s="68" t="s">
        <v>35</v>
      </c>
      <c r="H26" s="68"/>
      <c r="I26" s="68"/>
      <c r="J26" s="68"/>
      <c r="K26" s="68"/>
      <c r="L26" s="111"/>
      <c r="M26" s="68"/>
      <c r="N26" s="68"/>
      <c r="O26" s="68"/>
      <c r="P26" s="68"/>
      <c r="Q26" s="124">
        <f>Q18+Q22+Q23</f>
        <v>30735</v>
      </c>
      <c r="R26" s="125"/>
    </row>
    <row r="27" spans="1:18" ht="63" customHeight="1">
      <c r="A27" s="70"/>
      <c r="B27" s="70"/>
      <c r="C27" s="71" t="s">
        <v>36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</row>
    <row r="28" spans="1:18" ht="36" customHeight="1">
      <c r="A28" s="72">
        <v>1</v>
      </c>
      <c r="B28" s="73">
        <v>2</v>
      </c>
      <c r="C28" s="74">
        <v>3</v>
      </c>
      <c r="D28" s="73">
        <v>4</v>
      </c>
      <c r="E28" s="73">
        <v>5</v>
      </c>
      <c r="F28" s="73">
        <v>6</v>
      </c>
      <c r="G28" s="73">
        <v>7</v>
      </c>
      <c r="H28" s="73">
        <v>8</v>
      </c>
      <c r="I28" s="73">
        <v>9</v>
      </c>
      <c r="J28" s="73">
        <v>10</v>
      </c>
      <c r="K28" s="73">
        <v>11</v>
      </c>
      <c r="L28" s="73">
        <v>12</v>
      </c>
      <c r="M28" s="73">
        <v>13</v>
      </c>
      <c r="N28" s="73">
        <v>14</v>
      </c>
      <c r="O28" s="73">
        <v>15</v>
      </c>
      <c r="P28" s="73">
        <v>16</v>
      </c>
      <c r="Q28" s="73">
        <v>17</v>
      </c>
      <c r="R28" s="73">
        <v>18</v>
      </c>
    </row>
    <row r="29" spans="1:18" ht="45" customHeight="1">
      <c r="A29" s="75">
        <v>1</v>
      </c>
      <c r="B29" s="76" t="s">
        <v>37</v>
      </c>
      <c r="C29" s="77">
        <v>0.5</v>
      </c>
      <c r="D29" s="78">
        <v>5240</v>
      </c>
      <c r="E29" s="79"/>
      <c r="F29" s="79"/>
      <c r="G29" s="79"/>
      <c r="H29" s="79"/>
      <c r="I29" s="79"/>
      <c r="J29" s="79"/>
      <c r="K29" s="79">
        <f>SUM(D29:J29)</f>
        <v>5240</v>
      </c>
      <c r="L29" s="79"/>
      <c r="M29" s="79"/>
      <c r="N29" s="79"/>
      <c r="O29" s="79"/>
      <c r="P29" s="79"/>
      <c r="Q29" s="80">
        <f aca="true" t="shared" si="2" ref="Q29:Q48">SUM(K29:P29)*C29</f>
        <v>2620</v>
      </c>
      <c r="R29" s="105">
        <v>8</v>
      </c>
    </row>
    <row r="30" spans="1:18" ht="41.25" customHeight="1">
      <c r="A30" s="75">
        <v>2</v>
      </c>
      <c r="B30" s="76" t="s">
        <v>38</v>
      </c>
      <c r="C30" s="77">
        <v>1</v>
      </c>
      <c r="D30" s="78">
        <v>5815</v>
      </c>
      <c r="E30" s="79"/>
      <c r="F30" s="79"/>
      <c r="G30" s="79"/>
      <c r="H30" s="79"/>
      <c r="I30" s="79"/>
      <c r="J30" s="79"/>
      <c r="K30" s="79">
        <f>SUM(D30:J30)</f>
        <v>5815</v>
      </c>
      <c r="L30" s="79"/>
      <c r="M30" s="79"/>
      <c r="N30" s="79"/>
      <c r="O30" s="79"/>
      <c r="P30" s="79"/>
      <c r="Q30" s="80">
        <f t="shared" si="2"/>
        <v>5815</v>
      </c>
      <c r="R30" s="105">
        <v>10</v>
      </c>
    </row>
    <row r="31" spans="1:18" ht="76.5">
      <c r="A31" s="75">
        <v>3</v>
      </c>
      <c r="B31" s="76" t="s">
        <v>39</v>
      </c>
      <c r="C31" s="77">
        <v>0.5</v>
      </c>
      <c r="D31" s="78">
        <v>5815</v>
      </c>
      <c r="E31" s="79"/>
      <c r="F31" s="79"/>
      <c r="G31" s="79"/>
      <c r="H31" s="79"/>
      <c r="I31" s="79"/>
      <c r="J31" s="79"/>
      <c r="K31" s="79">
        <f>D31+E31+F31+G31+H31+I31+J31</f>
        <v>5815</v>
      </c>
      <c r="L31" s="79"/>
      <c r="M31" s="79"/>
      <c r="N31" s="79"/>
      <c r="O31" s="79"/>
      <c r="P31" s="79"/>
      <c r="Q31" s="80">
        <f t="shared" si="2"/>
        <v>2907.5</v>
      </c>
      <c r="R31" s="105">
        <v>10</v>
      </c>
    </row>
    <row r="32" spans="1:18" ht="76.5">
      <c r="A32" s="75">
        <v>4</v>
      </c>
      <c r="B32" s="57" t="s">
        <v>40</v>
      </c>
      <c r="C32" s="58">
        <v>0.5</v>
      </c>
      <c r="D32" s="80">
        <v>4633</v>
      </c>
      <c r="E32" s="80"/>
      <c r="F32" s="80"/>
      <c r="G32" s="80"/>
      <c r="H32" s="80" t="s">
        <v>35</v>
      </c>
      <c r="I32" s="80"/>
      <c r="J32" s="80"/>
      <c r="K32" s="59">
        <f>SUM(D32:J32)</f>
        <v>4633</v>
      </c>
      <c r="L32" s="80"/>
      <c r="M32" s="80"/>
      <c r="N32" s="80"/>
      <c r="O32" s="80"/>
      <c r="P32" s="80"/>
      <c r="Q32" s="80">
        <f t="shared" si="2"/>
        <v>2316.5</v>
      </c>
      <c r="R32" s="118">
        <v>6</v>
      </c>
    </row>
    <row r="33" spans="1:18" ht="76.5">
      <c r="A33" s="75">
        <v>5</v>
      </c>
      <c r="B33" s="76" t="s">
        <v>41</v>
      </c>
      <c r="C33" s="77">
        <v>1</v>
      </c>
      <c r="D33" s="78">
        <v>5815</v>
      </c>
      <c r="E33" s="79"/>
      <c r="F33" s="79"/>
      <c r="G33" s="79"/>
      <c r="H33" s="79"/>
      <c r="I33" s="79"/>
      <c r="J33" s="79"/>
      <c r="K33" s="79">
        <f>D33+E33+F33+G33+H33+I33+J33</f>
        <v>5815</v>
      </c>
      <c r="L33" s="79"/>
      <c r="M33" s="79"/>
      <c r="N33" s="79"/>
      <c r="O33" s="79"/>
      <c r="P33" s="79"/>
      <c r="Q33" s="80">
        <f t="shared" si="2"/>
        <v>5815</v>
      </c>
      <c r="R33" s="105">
        <v>10</v>
      </c>
    </row>
    <row r="34" spans="1:18" ht="39.75" customHeight="1">
      <c r="A34" s="75">
        <v>6</v>
      </c>
      <c r="B34" s="76" t="s">
        <v>42</v>
      </c>
      <c r="C34" s="77">
        <v>1</v>
      </c>
      <c r="D34" s="78">
        <v>4920</v>
      </c>
      <c r="E34" s="79"/>
      <c r="F34" s="79"/>
      <c r="G34" s="79"/>
      <c r="H34" s="79"/>
      <c r="I34" s="79"/>
      <c r="J34" s="79"/>
      <c r="K34" s="79">
        <f>D34+E34+F34+G34+H34+I34+J34</f>
        <v>4920</v>
      </c>
      <c r="L34" s="79"/>
      <c r="M34" s="79"/>
      <c r="N34" s="79"/>
      <c r="O34" s="79"/>
      <c r="P34" s="79"/>
      <c r="Q34" s="80">
        <f t="shared" si="2"/>
        <v>4920</v>
      </c>
      <c r="R34" s="105">
        <v>7</v>
      </c>
    </row>
    <row r="35" spans="1:18" ht="39.75" customHeight="1">
      <c r="A35" s="75">
        <v>7</v>
      </c>
      <c r="B35" s="76" t="s">
        <v>317</v>
      </c>
      <c r="C35" s="77">
        <v>1</v>
      </c>
      <c r="D35" s="79">
        <v>4058</v>
      </c>
      <c r="E35" s="79"/>
      <c r="F35" s="79"/>
      <c r="G35" s="79"/>
      <c r="H35" s="79"/>
      <c r="I35" s="79"/>
      <c r="J35" s="79"/>
      <c r="K35" s="79">
        <f aca="true" t="shared" si="3" ref="K35:K48">SUM(D35:J35)</f>
        <v>4058</v>
      </c>
      <c r="L35" s="79"/>
      <c r="M35" s="79"/>
      <c r="N35" s="79"/>
      <c r="O35" s="79"/>
      <c r="P35" s="79"/>
      <c r="Q35" s="80">
        <f t="shared" si="2"/>
        <v>4058</v>
      </c>
      <c r="R35" s="105">
        <v>4</v>
      </c>
    </row>
    <row r="36" spans="1:18" ht="39.75" customHeight="1">
      <c r="A36" s="75">
        <v>8</v>
      </c>
      <c r="B36" s="76" t="s">
        <v>43</v>
      </c>
      <c r="C36" s="77">
        <v>0.5</v>
      </c>
      <c r="D36" s="79">
        <v>4345</v>
      </c>
      <c r="E36" s="79"/>
      <c r="F36" s="79"/>
      <c r="G36" s="79"/>
      <c r="H36" s="79"/>
      <c r="I36" s="79"/>
      <c r="J36" s="79"/>
      <c r="K36" s="79">
        <f t="shared" si="3"/>
        <v>4345</v>
      </c>
      <c r="L36" s="79"/>
      <c r="M36" s="79"/>
      <c r="N36" s="79"/>
      <c r="O36" s="79"/>
      <c r="P36" s="79"/>
      <c r="Q36" s="80">
        <f t="shared" si="2"/>
        <v>2172.5</v>
      </c>
      <c r="R36" s="105">
        <v>5</v>
      </c>
    </row>
    <row r="37" spans="1:18" ht="39.75" customHeight="1">
      <c r="A37" s="75">
        <v>9</v>
      </c>
      <c r="B37" s="76" t="s">
        <v>44</v>
      </c>
      <c r="C37" s="77">
        <v>0.5</v>
      </c>
      <c r="D37" s="79">
        <v>4058</v>
      </c>
      <c r="E37" s="79"/>
      <c r="F37" s="79"/>
      <c r="G37" s="79"/>
      <c r="H37" s="79"/>
      <c r="I37" s="79"/>
      <c r="J37" s="79"/>
      <c r="K37" s="79">
        <f t="shared" si="3"/>
        <v>4058</v>
      </c>
      <c r="L37" s="79"/>
      <c r="M37" s="79"/>
      <c r="N37" s="79"/>
      <c r="O37" s="79"/>
      <c r="P37" s="79"/>
      <c r="Q37" s="80">
        <f t="shared" si="2"/>
        <v>2029</v>
      </c>
      <c r="R37" s="105">
        <v>4</v>
      </c>
    </row>
    <row r="38" spans="1:18" ht="39.75" customHeight="1">
      <c r="A38" s="75">
        <v>10</v>
      </c>
      <c r="B38" s="81" t="s">
        <v>45</v>
      </c>
      <c r="C38" s="77">
        <v>1.5</v>
      </c>
      <c r="D38" s="79">
        <v>3195</v>
      </c>
      <c r="E38" s="79"/>
      <c r="F38" s="79"/>
      <c r="G38" s="79"/>
      <c r="H38" s="79"/>
      <c r="I38" s="79"/>
      <c r="J38" s="79"/>
      <c r="K38" s="79">
        <f t="shared" si="3"/>
        <v>3195</v>
      </c>
      <c r="L38" s="79"/>
      <c r="M38" s="79"/>
      <c r="N38" s="79"/>
      <c r="O38" s="112"/>
      <c r="P38" s="79"/>
      <c r="Q38" s="80">
        <f t="shared" si="2"/>
        <v>4792.5</v>
      </c>
      <c r="R38" s="105">
        <v>1</v>
      </c>
    </row>
    <row r="39" spans="1:18" ht="76.5">
      <c r="A39" s="75">
        <v>11</v>
      </c>
      <c r="B39" s="57" t="s">
        <v>46</v>
      </c>
      <c r="C39" s="58">
        <v>2</v>
      </c>
      <c r="D39" s="80">
        <v>3770</v>
      </c>
      <c r="E39" s="82"/>
      <c r="F39" s="82"/>
      <c r="G39" s="82"/>
      <c r="H39" s="80"/>
      <c r="I39" s="82"/>
      <c r="J39" s="82"/>
      <c r="K39" s="80">
        <f t="shared" si="3"/>
        <v>3770</v>
      </c>
      <c r="L39" s="82"/>
      <c r="M39" s="82"/>
      <c r="N39" s="82"/>
      <c r="O39" s="113"/>
      <c r="P39" s="79"/>
      <c r="Q39" s="80">
        <f t="shared" si="2"/>
        <v>7540</v>
      </c>
      <c r="R39" s="121">
        <v>3</v>
      </c>
    </row>
    <row r="40" spans="1:18" ht="62.25" customHeight="1">
      <c r="A40" s="75">
        <v>12</v>
      </c>
      <c r="B40" s="57" t="s">
        <v>47</v>
      </c>
      <c r="C40" s="58">
        <v>3</v>
      </c>
      <c r="D40" s="80">
        <v>3195</v>
      </c>
      <c r="E40" s="80"/>
      <c r="F40" s="80"/>
      <c r="G40" s="80"/>
      <c r="H40" s="80"/>
      <c r="I40" s="80"/>
      <c r="J40" s="80"/>
      <c r="K40" s="80">
        <f t="shared" si="3"/>
        <v>3195</v>
      </c>
      <c r="L40" s="80"/>
      <c r="M40" s="80"/>
      <c r="N40" s="80"/>
      <c r="O40" s="113"/>
      <c r="P40" s="79"/>
      <c r="Q40" s="80">
        <f t="shared" si="2"/>
        <v>9585</v>
      </c>
      <c r="R40" s="121">
        <v>1</v>
      </c>
    </row>
    <row r="41" spans="1:18" ht="39.75" customHeight="1">
      <c r="A41" s="75">
        <v>13</v>
      </c>
      <c r="B41" s="57" t="s">
        <v>48</v>
      </c>
      <c r="C41" s="58">
        <v>1.75</v>
      </c>
      <c r="D41" s="80">
        <v>3483</v>
      </c>
      <c r="E41" s="80"/>
      <c r="F41" s="80"/>
      <c r="G41" s="80"/>
      <c r="H41" s="80"/>
      <c r="I41" s="80"/>
      <c r="J41" s="80"/>
      <c r="K41" s="80">
        <f t="shared" si="3"/>
        <v>3483</v>
      </c>
      <c r="L41" s="80"/>
      <c r="M41" s="80"/>
      <c r="N41" s="80"/>
      <c r="O41" s="113"/>
      <c r="P41" s="79"/>
      <c r="Q41" s="80">
        <f t="shared" si="2"/>
        <v>6095.25</v>
      </c>
      <c r="R41" s="121">
        <v>2</v>
      </c>
    </row>
    <row r="42" spans="1:18" ht="76.5">
      <c r="A42" s="75">
        <v>14</v>
      </c>
      <c r="B42" s="57" t="s">
        <v>49</v>
      </c>
      <c r="C42" s="58">
        <v>1</v>
      </c>
      <c r="D42" s="80">
        <v>4633</v>
      </c>
      <c r="E42" s="80"/>
      <c r="F42" s="80"/>
      <c r="G42" s="80"/>
      <c r="H42" s="80"/>
      <c r="I42" s="80"/>
      <c r="J42" s="80"/>
      <c r="K42" s="80">
        <f t="shared" si="3"/>
        <v>4633</v>
      </c>
      <c r="L42" s="80"/>
      <c r="M42" s="80"/>
      <c r="N42" s="80"/>
      <c r="O42" s="113"/>
      <c r="P42" s="79"/>
      <c r="Q42" s="80">
        <f t="shared" si="2"/>
        <v>4633</v>
      </c>
      <c r="R42" s="121">
        <v>6</v>
      </c>
    </row>
    <row r="43" spans="1:18" ht="54.75" customHeight="1">
      <c r="A43" s="75">
        <v>15</v>
      </c>
      <c r="B43" s="57" t="s">
        <v>50</v>
      </c>
      <c r="C43" s="58">
        <v>2.5</v>
      </c>
      <c r="D43" s="80">
        <v>4345</v>
      </c>
      <c r="E43" s="82"/>
      <c r="F43" s="82"/>
      <c r="G43" s="82"/>
      <c r="H43" s="80"/>
      <c r="I43" s="82"/>
      <c r="J43" s="82"/>
      <c r="K43" s="80">
        <f t="shared" si="3"/>
        <v>4345</v>
      </c>
      <c r="L43" s="82"/>
      <c r="M43" s="82"/>
      <c r="N43" s="82"/>
      <c r="O43" s="113">
        <f>K43*12%</f>
        <v>521.4</v>
      </c>
      <c r="P43" s="79"/>
      <c r="Q43" s="80">
        <f t="shared" si="2"/>
        <v>12166</v>
      </c>
      <c r="R43" s="121">
        <v>5</v>
      </c>
    </row>
    <row r="44" spans="1:18" ht="57.75" customHeight="1">
      <c r="A44" s="75">
        <v>16</v>
      </c>
      <c r="B44" s="76" t="s">
        <v>51</v>
      </c>
      <c r="C44" s="77">
        <v>1</v>
      </c>
      <c r="D44" s="79">
        <v>4920</v>
      </c>
      <c r="E44" s="79"/>
      <c r="F44" s="79"/>
      <c r="G44" s="83"/>
      <c r="H44" s="83"/>
      <c r="I44" s="79"/>
      <c r="J44" s="79"/>
      <c r="K44" s="79">
        <f t="shared" si="3"/>
        <v>4920</v>
      </c>
      <c r="L44" s="79"/>
      <c r="M44" s="79"/>
      <c r="N44" s="79"/>
      <c r="O44" s="112"/>
      <c r="P44" s="79"/>
      <c r="Q44" s="80">
        <f t="shared" si="2"/>
        <v>4920</v>
      </c>
      <c r="R44" s="105">
        <v>7</v>
      </c>
    </row>
    <row r="45" spans="1:18" ht="55.5" customHeight="1">
      <c r="A45" s="75">
        <v>17</v>
      </c>
      <c r="B45" s="84" t="s">
        <v>52</v>
      </c>
      <c r="C45" s="85">
        <v>1</v>
      </c>
      <c r="D45" s="79">
        <v>4345</v>
      </c>
      <c r="E45" s="86"/>
      <c r="F45" s="86"/>
      <c r="G45" s="86"/>
      <c r="H45" s="86"/>
      <c r="I45" s="86"/>
      <c r="J45" s="86"/>
      <c r="K45" s="79">
        <f t="shared" si="3"/>
        <v>4345</v>
      </c>
      <c r="L45" s="86"/>
      <c r="M45" s="86"/>
      <c r="N45" s="86"/>
      <c r="O45" s="114"/>
      <c r="P45" s="79"/>
      <c r="Q45" s="80">
        <f t="shared" si="2"/>
        <v>4345</v>
      </c>
      <c r="R45" s="126">
        <v>5</v>
      </c>
    </row>
    <row r="46" spans="1:18" ht="49.5" customHeight="1">
      <c r="A46" s="75">
        <v>18</v>
      </c>
      <c r="B46" s="87" t="s">
        <v>53</v>
      </c>
      <c r="C46" s="58">
        <v>0.25</v>
      </c>
      <c r="D46" s="79">
        <v>4058</v>
      </c>
      <c r="E46" s="80"/>
      <c r="F46" s="80"/>
      <c r="G46" s="80"/>
      <c r="H46" s="80"/>
      <c r="I46" s="80"/>
      <c r="J46" s="80"/>
      <c r="K46" s="79">
        <f t="shared" si="3"/>
        <v>4058</v>
      </c>
      <c r="L46" s="80"/>
      <c r="M46" s="80"/>
      <c r="N46" s="80"/>
      <c r="O46" s="113">
        <f>K46*12%</f>
        <v>486.96</v>
      </c>
      <c r="P46" s="79"/>
      <c r="Q46" s="80">
        <f t="shared" si="2"/>
        <v>1136.24</v>
      </c>
      <c r="R46" s="121">
        <v>4</v>
      </c>
    </row>
    <row r="47" spans="1:18" ht="49.5" customHeight="1">
      <c r="A47" s="75">
        <v>19</v>
      </c>
      <c r="B47" s="87" t="s">
        <v>54</v>
      </c>
      <c r="C47" s="77">
        <v>0.25</v>
      </c>
      <c r="D47" s="79">
        <v>4058</v>
      </c>
      <c r="E47" s="79"/>
      <c r="F47" s="79"/>
      <c r="G47" s="79"/>
      <c r="H47" s="79"/>
      <c r="I47" s="79"/>
      <c r="J47" s="79"/>
      <c r="K47" s="79">
        <f t="shared" si="3"/>
        <v>4058</v>
      </c>
      <c r="L47" s="115"/>
      <c r="M47" s="80"/>
      <c r="N47" s="79"/>
      <c r="O47" s="113">
        <f>K47*12%</f>
        <v>486.96</v>
      </c>
      <c r="P47" s="79"/>
      <c r="Q47" s="80">
        <f t="shared" si="2"/>
        <v>1136.24</v>
      </c>
      <c r="R47" s="105">
        <v>4</v>
      </c>
    </row>
    <row r="48" spans="1:18" ht="71.25" customHeight="1">
      <c r="A48" s="75">
        <v>20</v>
      </c>
      <c r="B48" s="88" t="s">
        <v>55</v>
      </c>
      <c r="C48" s="77">
        <v>0.5</v>
      </c>
      <c r="D48" s="79">
        <v>3770</v>
      </c>
      <c r="E48" s="89"/>
      <c r="F48" s="89"/>
      <c r="G48" s="89"/>
      <c r="H48" s="79"/>
      <c r="I48" s="89"/>
      <c r="J48" s="89"/>
      <c r="K48" s="79">
        <f t="shared" si="3"/>
        <v>3770</v>
      </c>
      <c r="L48" s="116"/>
      <c r="M48" s="82"/>
      <c r="N48" s="89"/>
      <c r="O48" s="112">
        <f>K48*12%</f>
        <v>452.4</v>
      </c>
      <c r="P48" s="79"/>
      <c r="Q48" s="80">
        <f t="shared" si="2"/>
        <v>2111.2</v>
      </c>
      <c r="R48" s="105">
        <v>3</v>
      </c>
    </row>
    <row r="49" spans="1:18" ht="80.25" customHeight="1">
      <c r="A49" s="90"/>
      <c r="B49" s="91" t="s">
        <v>32</v>
      </c>
      <c r="C49" s="92">
        <f>C48+C46+C45+C44+C43+C42+C41+C40+C39+C38+C37+C36+C35+C34+C31+C29+C33+C30+C32+C47</f>
        <v>21.25</v>
      </c>
      <c r="D49" s="93">
        <f>D48+D46+D45+D44+D43+D42+D41+D40+D39+D38+D37+D36+D35+D34+D31+D29+D33</f>
        <v>73965</v>
      </c>
      <c r="E49" s="93"/>
      <c r="F49" s="93"/>
      <c r="G49" s="93"/>
      <c r="H49" s="93"/>
      <c r="I49" s="93"/>
      <c r="J49" s="93"/>
      <c r="K49" s="93">
        <f>K48+K46+K45+K44+K43+K42+K41+K40+K39+K38+K37+K36+K35+K34+K31+K29+K33+K32+K47</f>
        <v>82656</v>
      </c>
      <c r="L49" s="93"/>
      <c r="M49" s="93"/>
      <c r="N49" s="93"/>
      <c r="O49" s="93"/>
      <c r="P49" s="93"/>
      <c r="Q49" s="93">
        <f>Q29+Q30+Q31+Q33+Q34+Q35+Q36+Q37+Q38+Q39+Q40+Q41+Q42+Q43+Q44+Q45+Q46+Q48+Q32+Q47</f>
        <v>91113.93000000001</v>
      </c>
      <c r="R49" s="117"/>
    </row>
    <row r="50" spans="1:18" ht="25.5" hidden="1">
      <c r="A50" s="94"/>
      <c r="B50" s="95"/>
      <c r="C50" s="5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</row>
    <row r="51" spans="1:18" ht="25.5" hidden="1">
      <c r="A51" s="94"/>
      <c r="B51" s="95"/>
      <c r="C51" s="5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</row>
    <row r="52" spans="1:18" ht="34.5" customHeight="1">
      <c r="A52" s="501" t="s">
        <v>25</v>
      </c>
      <c r="B52" s="501"/>
      <c r="C52" s="501"/>
      <c r="D52" s="501"/>
      <c r="E52" s="501"/>
      <c r="F52" s="501"/>
      <c r="G52" s="501"/>
      <c r="H52" s="501"/>
      <c r="I52" s="501"/>
      <c r="J52" s="501"/>
      <c r="K52" s="501"/>
      <c r="L52" s="501"/>
      <c r="M52" s="501"/>
      <c r="N52" s="501"/>
      <c r="O52" s="501"/>
      <c r="P52" s="501"/>
      <c r="Q52" s="501"/>
      <c r="R52" s="501"/>
    </row>
    <row r="53" spans="1:18" ht="38.25" hidden="1">
      <c r="A53" s="96"/>
      <c r="B53" s="70"/>
      <c r="C53" s="97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</row>
    <row r="54" spans="1:29" s="5" customFormat="1" ht="37.5">
      <c r="A54" s="72">
        <v>1</v>
      </c>
      <c r="B54" s="73">
        <v>2</v>
      </c>
      <c r="C54" s="74">
        <v>3</v>
      </c>
      <c r="D54" s="73">
        <v>4</v>
      </c>
      <c r="E54" s="73">
        <v>5</v>
      </c>
      <c r="F54" s="73">
        <v>6</v>
      </c>
      <c r="G54" s="73">
        <v>7</v>
      </c>
      <c r="H54" s="73">
        <v>8</v>
      </c>
      <c r="I54" s="73">
        <v>9</v>
      </c>
      <c r="J54" s="73">
        <v>10</v>
      </c>
      <c r="K54" s="73">
        <v>11</v>
      </c>
      <c r="L54" s="73">
        <v>12</v>
      </c>
      <c r="M54" s="73">
        <v>13</v>
      </c>
      <c r="N54" s="73">
        <v>14</v>
      </c>
      <c r="O54" s="73">
        <v>15</v>
      </c>
      <c r="P54" s="73">
        <v>16</v>
      </c>
      <c r="Q54" s="73">
        <v>17</v>
      </c>
      <c r="R54" s="73">
        <v>18</v>
      </c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s="40" customFormat="1" ht="76.5">
      <c r="A55" s="98">
        <v>1</v>
      </c>
      <c r="B55" s="99" t="s">
        <v>56</v>
      </c>
      <c r="C55" s="100">
        <v>1</v>
      </c>
      <c r="D55" s="101">
        <v>3483</v>
      </c>
      <c r="E55" s="101"/>
      <c r="F55" s="101"/>
      <c r="G55" s="101"/>
      <c r="H55" s="102">
        <f>D55*20%</f>
        <v>696.6</v>
      </c>
      <c r="I55" s="101"/>
      <c r="J55" s="101"/>
      <c r="K55" s="101">
        <f>SUM(D55:J55)</f>
        <v>4179.6</v>
      </c>
      <c r="L55" s="101"/>
      <c r="M55" s="101"/>
      <c r="N55" s="101"/>
      <c r="O55" s="101">
        <f>K55*12%</f>
        <v>501.552</v>
      </c>
      <c r="P55" s="117"/>
      <c r="Q55" s="127">
        <f>SUM(K55:P55)*C55</f>
        <v>4681.152</v>
      </c>
      <c r="R55" s="117">
        <v>2</v>
      </c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</row>
    <row r="56" spans="1:29" ht="38.25">
      <c r="A56" s="430" t="s">
        <v>32</v>
      </c>
      <c r="B56" s="432"/>
      <c r="C56" s="103">
        <f>SUM(C55:C55)</f>
        <v>1</v>
      </c>
      <c r="D56" s="104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29">
        <f>Q55</f>
        <v>4681.152</v>
      </c>
      <c r="R56" s="105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</row>
    <row r="57" spans="1:29" ht="3.75" customHeight="1">
      <c r="A57" s="106"/>
      <c r="B57" s="106"/>
      <c r="C57" s="107"/>
      <c r="D57" s="108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30"/>
      <c r="R57" s="109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</row>
    <row r="58" spans="1:18" ht="32.25" customHeight="1">
      <c r="A58" s="501" t="s">
        <v>57</v>
      </c>
      <c r="B58" s="501"/>
      <c r="C58" s="501"/>
      <c r="D58" s="501"/>
      <c r="E58" s="501"/>
      <c r="F58" s="501"/>
      <c r="G58" s="501"/>
      <c r="H58" s="501"/>
      <c r="I58" s="501"/>
      <c r="J58" s="501"/>
      <c r="K58" s="501"/>
      <c r="L58" s="501"/>
      <c r="M58" s="501"/>
      <c r="N58" s="501"/>
      <c r="O58" s="501"/>
      <c r="P58" s="501"/>
      <c r="Q58" s="501"/>
      <c r="R58" s="501"/>
    </row>
    <row r="59" spans="1:18" ht="3.75" customHeight="1">
      <c r="A59" s="96"/>
      <c r="B59" s="70"/>
      <c r="C59" s="97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</row>
    <row r="60" spans="1:18" ht="37.5">
      <c r="A60" s="72">
        <v>1</v>
      </c>
      <c r="B60" s="73">
        <v>2</v>
      </c>
      <c r="C60" s="74">
        <v>3</v>
      </c>
      <c r="D60" s="73">
        <v>4</v>
      </c>
      <c r="E60" s="73">
        <v>5</v>
      </c>
      <c r="F60" s="73">
        <v>6</v>
      </c>
      <c r="G60" s="73">
        <v>7</v>
      </c>
      <c r="H60" s="73">
        <v>8</v>
      </c>
      <c r="I60" s="73">
        <v>9</v>
      </c>
      <c r="J60" s="73">
        <v>10</v>
      </c>
      <c r="K60" s="73">
        <v>11</v>
      </c>
      <c r="L60" s="73">
        <v>12</v>
      </c>
      <c r="M60" s="73">
        <v>13</v>
      </c>
      <c r="N60" s="73">
        <v>14</v>
      </c>
      <c r="O60" s="73">
        <v>15</v>
      </c>
      <c r="P60" s="73">
        <v>16</v>
      </c>
      <c r="Q60" s="73">
        <v>17</v>
      </c>
      <c r="R60" s="73">
        <v>18</v>
      </c>
    </row>
    <row r="61" spans="1:18" ht="44.25" customHeight="1">
      <c r="A61" s="110">
        <v>1</v>
      </c>
      <c r="B61" s="76" t="s">
        <v>58</v>
      </c>
      <c r="C61" s="77">
        <v>1</v>
      </c>
      <c r="D61" s="79">
        <v>3770</v>
      </c>
      <c r="E61" s="79"/>
      <c r="F61" s="79"/>
      <c r="G61" s="79"/>
      <c r="H61" s="79"/>
      <c r="I61" s="79"/>
      <c r="J61" s="79"/>
      <c r="K61" s="79">
        <f>SUM(D61:J61)</f>
        <v>3770</v>
      </c>
      <c r="L61" s="79"/>
      <c r="M61" s="79"/>
      <c r="N61" s="79"/>
      <c r="O61" s="79">
        <f>K61*12%</f>
        <v>452.4</v>
      </c>
      <c r="P61" s="104"/>
      <c r="Q61" s="80">
        <f>SUM(K61:P61)*C61</f>
        <v>4222.4</v>
      </c>
      <c r="R61" s="105">
        <v>3</v>
      </c>
    </row>
    <row r="62" spans="1:18" ht="51" customHeight="1">
      <c r="A62" s="110">
        <v>2</v>
      </c>
      <c r="B62" s="76" t="s">
        <v>59</v>
      </c>
      <c r="C62" s="77">
        <v>1.5</v>
      </c>
      <c r="D62" s="79">
        <v>4058</v>
      </c>
      <c r="E62" s="79"/>
      <c r="F62" s="79"/>
      <c r="G62" s="79"/>
      <c r="H62" s="79"/>
      <c r="I62" s="79"/>
      <c r="J62" s="79"/>
      <c r="K62" s="79">
        <f>SUM(D62:J62)</f>
        <v>4058</v>
      </c>
      <c r="L62" s="79"/>
      <c r="M62" s="79"/>
      <c r="N62" s="79"/>
      <c r="O62" s="79">
        <f>K62*12%</f>
        <v>486.96</v>
      </c>
      <c r="P62" s="104"/>
      <c r="Q62" s="80">
        <f>SUM(K62:P62)*C62</f>
        <v>6817.4400000000005</v>
      </c>
      <c r="R62" s="105">
        <v>4</v>
      </c>
    </row>
    <row r="63" spans="1:18" ht="42.75" customHeight="1">
      <c r="A63" s="110">
        <v>3</v>
      </c>
      <c r="B63" s="76" t="s">
        <v>60</v>
      </c>
      <c r="C63" s="77">
        <v>2</v>
      </c>
      <c r="D63" s="79">
        <v>3483</v>
      </c>
      <c r="E63" s="79"/>
      <c r="F63" s="79"/>
      <c r="G63" s="79"/>
      <c r="H63" s="79"/>
      <c r="I63" s="79"/>
      <c r="J63" s="79"/>
      <c r="K63" s="79">
        <f>SUM(D63:J63)</f>
        <v>3483</v>
      </c>
      <c r="L63" s="79"/>
      <c r="M63" s="79"/>
      <c r="N63" s="79"/>
      <c r="O63" s="79"/>
      <c r="P63" s="104"/>
      <c r="Q63" s="80">
        <f>SUM(K63:P63)*C63</f>
        <v>6966</v>
      </c>
      <c r="R63" s="105">
        <v>2</v>
      </c>
    </row>
    <row r="64" spans="1:18" ht="29.25" customHeight="1">
      <c r="A64" s="430" t="s">
        <v>32</v>
      </c>
      <c r="B64" s="432"/>
      <c r="C64" s="103">
        <f>SUM(C61:C63)</f>
        <v>4.5</v>
      </c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29">
        <f>SUM(Q61:Q63)</f>
        <v>18005.84</v>
      </c>
      <c r="R64" s="105"/>
    </row>
    <row r="65" spans="1:18" ht="33.75" customHeight="1" hidden="1">
      <c r="A65" s="70"/>
      <c r="B65" s="70"/>
      <c r="C65" s="97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</row>
    <row r="66" spans="1:18" ht="33.75" customHeight="1" hidden="1">
      <c r="A66" s="70"/>
      <c r="B66" s="70"/>
      <c r="C66" s="97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</row>
    <row r="67" spans="1:18" ht="33.75" customHeight="1">
      <c r="A67" s="502" t="s">
        <v>61</v>
      </c>
      <c r="B67" s="503"/>
      <c r="C67" s="503"/>
      <c r="D67" s="503"/>
      <c r="E67" s="503"/>
      <c r="F67" s="503"/>
      <c r="G67" s="503"/>
      <c r="H67" s="503"/>
      <c r="I67" s="503"/>
      <c r="J67" s="503"/>
      <c r="K67" s="503"/>
      <c r="L67" s="503"/>
      <c r="M67" s="503"/>
      <c r="N67" s="503"/>
      <c r="O67" s="503"/>
      <c r="P67" s="503"/>
      <c r="Q67" s="503"/>
      <c r="R67" s="503"/>
    </row>
    <row r="68" spans="1:18" ht="32.25" customHeight="1">
      <c r="A68" s="96"/>
      <c r="B68" s="70"/>
      <c r="C68" s="97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</row>
    <row r="69" spans="1:18" ht="33.75" customHeight="1">
      <c r="A69" s="72">
        <v>1</v>
      </c>
      <c r="B69" s="73">
        <v>2</v>
      </c>
      <c r="C69" s="74">
        <v>3</v>
      </c>
      <c r="D69" s="73">
        <v>4</v>
      </c>
      <c r="E69" s="73">
        <v>5</v>
      </c>
      <c r="F69" s="73">
        <v>6</v>
      </c>
      <c r="G69" s="73">
        <v>7</v>
      </c>
      <c r="H69" s="73">
        <v>8</v>
      </c>
      <c r="I69" s="73">
        <v>9</v>
      </c>
      <c r="J69" s="73">
        <v>10</v>
      </c>
      <c r="K69" s="73">
        <v>11</v>
      </c>
      <c r="L69" s="73">
        <v>12</v>
      </c>
      <c r="M69" s="73">
        <v>13</v>
      </c>
      <c r="N69" s="73">
        <v>14</v>
      </c>
      <c r="O69" s="73">
        <v>15</v>
      </c>
      <c r="P69" s="73">
        <v>16</v>
      </c>
      <c r="Q69" s="73">
        <v>17</v>
      </c>
      <c r="R69" s="73">
        <v>18</v>
      </c>
    </row>
    <row r="70" spans="1:18" ht="48" customHeight="1">
      <c r="A70" s="75">
        <v>1</v>
      </c>
      <c r="B70" s="76" t="s">
        <v>62</v>
      </c>
      <c r="C70" s="77">
        <v>0.5</v>
      </c>
      <c r="D70" s="79">
        <v>4920</v>
      </c>
      <c r="E70" s="79"/>
      <c r="F70" s="79"/>
      <c r="G70" s="79"/>
      <c r="H70" s="79"/>
      <c r="I70" s="79"/>
      <c r="J70" s="79"/>
      <c r="K70" s="79">
        <f>SUM(D70:J70)</f>
        <v>4920</v>
      </c>
      <c r="L70" s="79"/>
      <c r="M70" s="79"/>
      <c r="N70" s="79"/>
      <c r="O70" s="79"/>
      <c r="P70" s="104"/>
      <c r="Q70" s="80">
        <f>SUM(K70:P70)*C70</f>
        <v>2460</v>
      </c>
      <c r="R70" s="117">
        <v>7</v>
      </c>
    </row>
    <row r="71" spans="1:18" ht="90.75" customHeight="1">
      <c r="A71" s="75">
        <v>2</v>
      </c>
      <c r="B71" s="76" t="s">
        <v>63</v>
      </c>
      <c r="C71" s="77">
        <v>1</v>
      </c>
      <c r="D71" s="79">
        <v>4058</v>
      </c>
      <c r="E71" s="79"/>
      <c r="F71" s="79"/>
      <c r="G71" s="79"/>
      <c r="H71" s="79"/>
      <c r="I71" s="79">
        <f aca="true" t="shared" si="4" ref="I71:I77">D71*20%</f>
        <v>811.6</v>
      </c>
      <c r="J71" s="79"/>
      <c r="K71" s="79">
        <f>SUM(D71:J71)</f>
        <v>4869.6</v>
      </c>
      <c r="L71" s="79"/>
      <c r="M71" s="101">
        <f>D71*25%</f>
        <v>1014.5</v>
      </c>
      <c r="N71" s="79"/>
      <c r="O71" s="79"/>
      <c r="P71" s="104"/>
      <c r="Q71" s="80">
        <f>SUM(K71:P71)*C71</f>
        <v>5884.1</v>
      </c>
      <c r="R71" s="105">
        <v>4</v>
      </c>
    </row>
    <row r="72" spans="1:18" ht="44.25" customHeight="1">
      <c r="A72" s="75">
        <v>3</v>
      </c>
      <c r="B72" s="76" t="s">
        <v>64</v>
      </c>
      <c r="C72" s="77">
        <v>1</v>
      </c>
      <c r="D72" s="79">
        <v>4058</v>
      </c>
      <c r="E72" s="79"/>
      <c r="F72" s="79"/>
      <c r="G72" s="79"/>
      <c r="H72" s="79"/>
      <c r="I72" s="79">
        <f t="shared" si="4"/>
        <v>811.6</v>
      </c>
      <c r="J72" s="79"/>
      <c r="K72" s="79">
        <f aca="true" t="shared" si="5" ref="K72:K77">SUM(D72:J72)</f>
        <v>4869.6</v>
      </c>
      <c r="L72" s="79"/>
      <c r="M72" s="101">
        <f aca="true" t="shared" si="6" ref="M72:M77">D72*25%</f>
        <v>1014.5</v>
      </c>
      <c r="N72" s="79"/>
      <c r="O72" s="79"/>
      <c r="P72" s="104"/>
      <c r="Q72" s="80">
        <f aca="true" t="shared" si="7" ref="Q72:Q77">SUM(K72:P72)*C72</f>
        <v>5884.1</v>
      </c>
      <c r="R72" s="105">
        <v>4</v>
      </c>
    </row>
    <row r="73" spans="1:18" ht="44.25" customHeight="1">
      <c r="A73" s="75">
        <v>4</v>
      </c>
      <c r="B73" s="76" t="s">
        <v>65</v>
      </c>
      <c r="C73" s="77">
        <v>1</v>
      </c>
      <c r="D73" s="79">
        <v>4058</v>
      </c>
      <c r="E73" s="79"/>
      <c r="F73" s="79"/>
      <c r="G73" s="79"/>
      <c r="H73" s="79"/>
      <c r="I73" s="79">
        <f t="shared" si="4"/>
        <v>811.6</v>
      </c>
      <c r="J73" s="79"/>
      <c r="K73" s="79">
        <f t="shared" si="5"/>
        <v>4869.6</v>
      </c>
      <c r="L73" s="79"/>
      <c r="M73" s="101">
        <f t="shared" si="6"/>
        <v>1014.5</v>
      </c>
      <c r="N73" s="79"/>
      <c r="O73" s="79"/>
      <c r="P73" s="104"/>
      <c r="Q73" s="80">
        <f t="shared" si="7"/>
        <v>5884.1</v>
      </c>
      <c r="R73" s="105">
        <v>4</v>
      </c>
    </row>
    <row r="74" spans="1:18" ht="44.25" customHeight="1">
      <c r="A74" s="75">
        <v>5</v>
      </c>
      <c r="B74" s="76" t="s">
        <v>66</v>
      </c>
      <c r="C74" s="77">
        <v>1</v>
      </c>
      <c r="D74" s="79">
        <v>4058</v>
      </c>
      <c r="E74" s="79"/>
      <c r="F74" s="79"/>
      <c r="G74" s="79"/>
      <c r="H74" s="79"/>
      <c r="I74" s="79">
        <f t="shared" si="4"/>
        <v>811.6</v>
      </c>
      <c r="J74" s="79"/>
      <c r="K74" s="79">
        <f t="shared" si="5"/>
        <v>4869.6</v>
      </c>
      <c r="L74" s="79"/>
      <c r="M74" s="101">
        <f t="shared" si="6"/>
        <v>1014.5</v>
      </c>
      <c r="N74" s="79"/>
      <c r="O74" s="79"/>
      <c r="P74" s="104"/>
      <c r="Q74" s="80">
        <f t="shared" si="7"/>
        <v>5884.1</v>
      </c>
      <c r="R74" s="105">
        <v>4</v>
      </c>
    </row>
    <row r="75" spans="1:18" ht="44.25" customHeight="1">
      <c r="A75" s="75">
        <v>6</v>
      </c>
      <c r="B75" s="76" t="s">
        <v>67</v>
      </c>
      <c r="C75" s="77">
        <v>1.5</v>
      </c>
      <c r="D75" s="79">
        <v>3483</v>
      </c>
      <c r="E75" s="79"/>
      <c r="F75" s="79"/>
      <c r="G75" s="79"/>
      <c r="H75" s="79"/>
      <c r="I75" s="79">
        <f t="shared" si="4"/>
        <v>696.6</v>
      </c>
      <c r="J75" s="79"/>
      <c r="K75" s="79">
        <f t="shared" si="5"/>
        <v>4179.6</v>
      </c>
      <c r="L75" s="79"/>
      <c r="M75" s="101">
        <f t="shared" si="6"/>
        <v>870.75</v>
      </c>
      <c r="N75" s="79"/>
      <c r="O75" s="79"/>
      <c r="P75" s="104"/>
      <c r="Q75" s="80">
        <f t="shared" si="7"/>
        <v>7575.525000000001</v>
      </c>
      <c r="R75" s="105">
        <v>2</v>
      </c>
    </row>
    <row r="76" spans="1:18" ht="44.25" customHeight="1">
      <c r="A76" s="75">
        <v>7</v>
      </c>
      <c r="B76" s="76" t="s">
        <v>68</v>
      </c>
      <c r="C76" s="77">
        <v>0.5</v>
      </c>
      <c r="D76" s="79">
        <v>3483</v>
      </c>
      <c r="E76" s="79"/>
      <c r="F76" s="79"/>
      <c r="G76" s="79"/>
      <c r="H76" s="79"/>
      <c r="I76" s="79">
        <f t="shared" si="4"/>
        <v>696.6</v>
      </c>
      <c r="J76" s="79"/>
      <c r="K76" s="79">
        <f t="shared" si="5"/>
        <v>4179.6</v>
      </c>
      <c r="L76" s="79"/>
      <c r="M76" s="101">
        <f t="shared" si="6"/>
        <v>870.75</v>
      </c>
      <c r="N76" s="79"/>
      <c r="O76" s="79"/>
      <c r="P76" s="104"/>
      <c r="Q76" s="80">
        <f t="shared" si="7"/>
        <v>2525.175</v>
      </c>
      <c r="R76" s="105">
        <v>2</v>
      </c>
    </row>
    <row r="77" spans="1:18" ht="44.25" customHeight="1">
      <c r="A77" s="75">
        <v>8</v>
      </c>
      <c r="B77" s="76" t="s">
        <v>69</v>
      </c>
      <c r="C77" s="77">
        <v>0.5</v>
      </c>
      <c r="D77" s="79">
        <v>3483</v>
      </c>
      <c r="E77" s="79"/>
      <c r="F77" s="79"/>
      <c r="G77" s="79"/>
      <c r="H77" s="79"/>
      <c r="I77" s="79">
        <f t="shared" si="4"/>
        <v>696.6</v>
      </c>
      <c r="J77" s="79"/>
      <c r="K77" s="79">
        <f t="shared" si="5"/>
        <v>4179.6</v>
      </c>
      <c r="L77" s="79"/>
      <c r="M77" s="101">
        <f t="shared" si="6"/>
        <v>870.75</v>
      </c>
      <c r="N77" s="79"/>
      <c r="O77" s="79"/>
      <c r="P77" s="104"/>
      <c r="Q77" s="80">
        <f t="shared" si="7"/>
        <v>2525.175</v>
      </c>
      <c r="R77" s="105">
        <v>2</v>
      </c>
    </row>
    <row r="78" spans="1:18" ht="93" customHeight="1">
      <c r="A78" s="455" t="s">
        <v>32</v>
      </c>
      <c r="B78" s="456"/>
      <c r="C78" s="92">
        <f>C70+C71+C72+C73+C74+C75+C76+C77</f>
        <v>7</v>
      </c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69">
        <f>Q70+Q71+Q72+Q73+Q74+Q75+Q76+Q77</f>
        <v>38622.27500000001</v>
      </c>
      <c r="R78" s="91"/>
    </row>
    <row r="79" spans="1:18" ht="33.75" customHeight="1" hidden="1">
      <c r="A79" s="70"/>
      <c r="B79" s="70"/>
      <c r="C79" s="97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</row>
    <row r="80" spans="1:18" ht="33.75" customHeight="1" hidden="1">
      <c r="A80" s="70"/>
      <c r="B80" s="70"/>
      <c r="C80" s="97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</row>
    <row r="81" spans="1:18" ht="33.75" customHeight="1" hidden="1">
      <c r="A81" s="70"/>
      <c r="B81" s="70"/>
      <c r="C81" s="97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</row>
    <row r="82" spans="1:18" ht="33.75" customHeight="1" hidden="1">
      <c r="A82" s="70"/>
      <c r="B82" s="70"/>
      <c r="C82" s="97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</row>
    <row r="83" spans="1:18" ht="33.75" customHeight="1" hidden="1">
      <c r="A83" s="70"/>
      <c r="B83" s="70"/>
      <c r="C83" s="97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1:18" ht="32.25" customHeight="1" hidden="1">
      <c r="A84" s="70"/>
      <c r="B84" s="70"/>
      <c r="C84" s="97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</row>
    <row r="85" spans="1:18" ht="11.25" customHeight="1" hidden="1">
      <c r="A85" s="70"/>
      <c r="B85" s="70"/>
      <c r="C85" s="97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</row>
    <row r="86" spans="1:18" ht="33.75" customHeight="1" hidden="1">
      <c r="A86" s="70"/>
      <c r="B86" s="70"/>
      <c r="C86" s="97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</row>
    <row r="87" spans="1:18" ht="33.75" customHeight="1" hidden="1">
      <c r="A87" s="70"/>
      <c r="B87" s="70"/>
      <c r="C87" s="97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</row>
    <row r="88" spans="1:18" ht="33.75" customHeight="1" hidden="1">
      <c r="A88" s="70"/>
      <c r="B88" s="70"/>
      <c r="C88" s="97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</row>
    <row r="89" spans="1:18" ht="33.75" customHeight="1" hidden="1">
      <c r="A89" s="70"/>
      <c r="B89" s="70"/>
      <c r="C89" s="97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</row>
    <row r="90" spans="1:18" ht="33.75" customHeight="1" hidden="1">
      <c r="A90" s="70"/>
      <c r="B90" s="70"/>
      <c r="C90" s="97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</row>
    <row r="91" spans="1:18" ht="33.75" customHeight="1" hidden="1">
      <c r="A91" s="70"/>
      <c r="B91" s="70"/>
      <c r="C91" s="97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</row>
    <row r="92" spans="1:18" ht="37.5" hidden="1">
      <c r="A92" s="70"/>
      <c r="B92" s="70"/>
      <c r="C92" s="97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</row>
    <row r="93" spans="1:18" ht="37.5" hidden="1">
      <c r="A93" s="70"/>
      <c r="B93" s="70"/>
      <c r="C93" s="97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</row>
    <row r="94" spans="1:18" ht="37.5" hidden="1">
      <c r="A94" s="70"/>
      <c r="B94" s="70"/>
      <c r="C94" s="97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</row>
    <row r="95" spans="1:18" ht="37.5" hidden="1">
      <c r="A95" s="70"/>
      <c r="B95" s="70"/>
      <c r="C95" s="97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</row>
    <row r="96" spans="1:18" ht="4.5" customHeight="1" hidden="1">
      <c r="A96" s="70"/>
      <c r="B96" s="70"/>
      <c r="C96" s="97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</row>
    <row r="97" spans="1:18" ht="39.75" customHeight="1" hidden="1">
      <c r="A97" s="70"/>
      <c r="B97" s="70"/>
      <c r="C97" s="97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</row>
    <row r="98" spans="1:18" ht="78.75" customHeight="1">
      <c r="A98" s="70"/>
      <c r="B98" s="70"/>
      <c r="C98" s="97"/>
      <c r="D98" s="70"/>
      <c r="E98" s="70"/>
      <c r="F98" s="70"/>
      <c r="G98" s="133" t="s">
        <v>70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</row>
    <row r="99" spans="1:18" ht="36" customHeight="1">
      <c r="A99" s="416" t="s">
        <v>0</v>
      </c>
      <c r="B99" s="416" t="s">
        <v>1</v>
      </c>
      <c r="C99" s="497" t="s">
        <v>2</v>
      </c>
      <c r="D99" s="416" t="s">
        <v>3</v>
      </c>
      <c r="E99" s="487" t="s">
        <v>4</v>
      </c>
      <c r="F99" s="488"/>
      <c r="G99" s="488"/>
      <c r="H99" s="488"/>
      <c r="I99" s="488"/>
      <c r="J99" s="489"/>
      <c r="K99" s="416" t="s">
        <v>5</v>
      </c>
      <c r="L99" s="487" t="s">
        <v>6</v>
      </c>
      <c r="M99" s="488"/>
      <c r="N99" s="488"/>
      <c r="O99" s="490" t="s">
        <v>7</v>
      </c>
      <c r="P99" s="490"/>
      <c r="Q99" s="416" t="s">
        <v>8</v>
      </c>
      <c r="R99" s="416" t="s">
        <v>9</v>
      </c>
    </row>
    <row r="100" spans="1:18" ht="166.5" customHeight="1">
      <c r="A100" s="417"/>
      <c r="B100" s="417"/>
      <c r="C100" s="498"/>
      <c r="D100" s="417"/>
      <c r="E100" s="134" t="s">
        <v>10</v>
      </c>
      <c r="F100" s="134" t="s">
        <v>71</v>
      </c>
      <c r="G100" s="134" t="s">
        <v>72</v>
      </c>
      <c r="H100" s="134" t="s">
        <v>73</v>
      </c>
      <c r="I100" s="134" t="s">
        <v>74</v>
      </c>
      <c r="J100" s="134" t="s">
        <v>75</v>
      </c>
      <c r="K100" s="449"/>
      <c r="L100" s="134" t="s">
        <v>16</v>
      </c>
      <c r="M100" s="134" t="s">
        <v>17</v>
      </c>
      <c r="N100" s="134" t="s">
        <v>18</v>
      </c>
      <c r="O100" s="134" t="s">
        <v>19</v>
      </c>
      <c r="P100" s="134" t="s">
        <v>20</v>
      </c>
      <c r="Q100" s="417"/>
      <c r="R100" s="417"/>
    </row>
    <row r="101" spans="1:18" ht="67.5" customHeight="1">
      <c r="A101" s="110">
        <v>1</v>
      </c>
      <c r="B101" s="135">
        <v>2</v>
      </c>
      <c r="C101" s="136">
        <v>3</v>
      </c>
      <c r="D101" s="135">
        <v>4</v>
      </c>
      <c r="E101" s="135">
        <v>5</v>
      </c>
      <c r="F101" s="135">
        <v>6</v>
      </c>
      <c r="G101" s="135">
        <v>7</v>
      </c>
      <c r="H101" s="135">
        <v>8</v>
      </c>
      <c r="I101" s="135">
        <v>9</v>
      </c>
      <c r="J101" s="135">
        <v>10</v>
      </c>
      <c r="K101" s="135">
        <v>11</v>
      </c>
      <c r="L101" s="135">
        <v>12</v>
      </c>
      <c r="M101" s="135">
        <v>13</v>
      </c>
      <c r="N101" s="135">
        <v>14</v>
      </c>
      <c r="O101" s="135">
        <v>15</v>
      </c>
      <c r="P101" s="135">
        <v>16</v>
      </c>
      <c r="Q101" s="135">
        <v>17</v>
      </c>
      <c r="R101" s="135">
        <v>18</v>
      </c>
    </row>
    <row r="102" spans="1:18" ht="42.75" customHeight="1">
      <c r="A102" s="137">
        <v>1</v>
      </c>
      <c r="B102" s="138" t="s">
        <v>76</v>
      </c>
      <c r="C102" s="139">
        <v>1</v>
      </c>
      <c r="D102" s="140">
        <v>18000</v>
      </c>
      <c r="E102" s="140"/>
      <c r="F102" s="140"/>
      <c r="G102" s="140"/>
      <c r="H102" s="140"/>
      <c r="I102" s="140"/>
      <c r="J102" s="140"/>
      <c r="K102" s="59">
        <f aca="true" t="shared" si="8" ref="K102:K111">SUM(D102:J102)</f>
        <v>18000</v>
      </c>
      <c r="L102" s="59"/>
      <c r="M102" s="167"/>
      <c r="N102" s="140"/>
      <c r="O102" s="140"/>
      <c r="P102" s="140"/>
      <c r="Q102" s="80">
        <f aca="true" t="shared" si="9" ref="Q102:Q111">SUM(K102:P102)*C102</f>
        <v>18000</v>
      </c>
      <c r="R102" s="162" t="s">
        <v>25</v>
      </c>
    </row>
    <row r="103" spans="1:18" ht="41.25" customHeight="1">
      <c r="A103" s="137">
        <v>2</v>
      </c>
      <c r="B103" s="76" t="s">
        <v>77</v>
      </c>
      <c r="C103" s="77">
        <v>1</v>
      </c>
      <c r="D103" s="141">
        <v>5815</v>
      </c>
      <c r="E103" s="79"/>
      <c r="F103" s="140"/>
      <c r="G103" s="79"/>
      <c r="H103" s="79"/>
      <c r="I103" s="79"/>
      <c r="J103" s="79"/>
      <c r="K103" s="59">
        <f t="shared" si="8"/>
        <v>5815</v>
      </c>
      <c r="L103" s="79"/>
      <c r="M103" s="79"/>
      <c r="N103" s="79"/>
      <c r="O103" s="79"/>
      <c r="P103" s="79"/>
      <c r="Q103" s="80">
        <f t="shared" si="9"/>
        <v>5815</v>
      </c>
      <c r="R103" s="105">
        <v>10</v>
      </c>
    </row>
    <row r="104" spans="1:18" ht="45.75" customHeight="1">
      <c r="A104" s="137">
        <v>3</v>
      </c>
      <c r="B104" s="143" t="s">
        <v>318</v>
      </c>
      <c r="C104" s="77">
        <v>0.5</v>
      </c>
      <c r="D104" s="141">
        <v>5527</v>
      </c>
      <c r="E104" s="79"/>
      <c r="F104" s="140"/>
      <c r="G104" s="79"/>
      <c r="H104" s="79"/>
      <c r="I104" s="79"/>
      <c r="J104" s="79"/>
      <c r="K104" s="59">
        <f t="shared" si="8"/>
        <v>5527</v>
      </c>
      <c r="L104" s="79"/>
      <c r="M104" s="79"/>
      <c r="N104" s="79"/>
      <c r="O104" s="79"/>
      <c r="P104" s="79"/>
      <c r="Q104" s="80">
        <f t="shared" si="9"/>
        <v>2763.5</v>
      </c>
      <c r="R104" s="105">
        <v>9</v>
      </c>
    </row>
    <row r="105" spans="1:18" ht="57.75" customHeight="1">
      <c r="A105" s="137">
        <v>4</v>
      </c>
      <c r="B105" s="142" t="s">
        <v>78</v>
      </c>
      <c r="C105" s="77">
        <v>0.5</v>
      </c>
      <c r="D105" s="141">
        <v>5527</v>
      </c>
      <c r="E105" s="79"/>
      <c r="F105" s="140"/>
      <c r="G105" s="79"/>
      <c r="H105" s="79"/>
      <c r="I105" s="79"/>
      <c r="J105" s="79"/>
      <c r="K105" s="59">
        <f t="shared" si="8"/>
        <v>5527</v>
      </c>
      <c r="L105" s="79"/>
      <c r="M105" s="79"/>
      <c r="N105" s="79"/>
      <c r="O105" s="79"/>
      <c r="P105" s="79"/>
      <c r="Q105" s="80">
        <f t="shared" si="9"/>
        <v>2763.5</v>
      </c>
      <c r="R105" s="105">
        <v>9</v>
      </c>
    </row>
    <row r="106" spans="1:18" ht="38.25">
      <c r="A106" s="137">
        <v>5</v>
      </c>
      <c r="B106" s="142" t="s">
        <v>79</v>
      </c>
      <c r="C106" s="77">
        <v>0.5</v>
      </c>
      <c r="D106" s="141">
        <v>5527</v>
      </c>
      <c r="E106" s="79"/>
      <c r="F106" s="140"/>
      <c r="G106" s="79"/>
      <c r="H106" s="79"/>
      <c r="I106" s="79"/>
      <c r="J106" s="79"/>
      <c r="K106" s="59">
        <f t="shared" si="8"/>
        <v>5527</v>
      </c>
      <c r="L106" s="79"/>
      <c r="M106" s="79"/>
      <c r="N106" s="79"/>
      <c r="O106" s="79"/>
      <c r="P106" s="79"/>
      <c r="Q106" s="80">
        <f t="shared" si="9"/>
        <v>2763.5</v>
      </c>
      <c r="R106" s="105">
        <v>9</v>
      </c>
    </row>
    <row r="107" spans="1:18" ht="43.5" customHeight="1">
      <c r="A107" s="137">
        <v>6</v>
      </c>
      <c r="B107" s="143" t="s">
        <v>80</v>
      </c>
      <c r="C107" s="77">
        <v>0.5</v>
      </c>
      <c r="D107" s="141">
        <v>5527</v>
      </c>
      <c r="E107" s="79"/>
      <c r="F107" s="140"/>
      <c r="G107" s="79"/>
      <c r="H107" s="79"/>
      <c r="I107" s="79"/>
      <c r="J107" s="79"/>
      <c r="K107" s="59">
        <f t="shared" si="8"/>
        <v>5527</v>
      </c>
      <c r="L107" s="79"/>
      <c r="M107" s="79"/>
      <c r="N107" s="79"/>
      <c r="O107" s="79"/>
      <c r="P107" s="79"/>
      <c r="Q107" s="80">
        <f t="shared" si="9"/>
        <v>2763.5</v>
      </c>
      <c r="R107" s="105">
        <v>9</v>
      </c>
    </row>
    <row r="108" spans="1:18" ht="66">
      <c r="A108" s="137">
        <v>7</v>
      </c>
      <c r="B108" s="143" t="s">
        <v>81</v>
      </c>
      <c r="C108" s="77">
        <v>0.5</v>
      </c>
      <c r="D108" s="141">
        <v>5527</v>
      </c>
      <c r="E108" s="79"/>
      <c r="F108" s="140"/>
      <c r="G108" s="79"/>
      <c r="H108" s="79"/>
      <c r="I108" s="79"/>
      <c r="J108" s="79"/>
      <c r="K108" s="59">
        <f t="shared" si="8"/>
        <v>5527</v>
      </c>
      <c r="L108" s="79"/>
      <c r="M108" s="79"/>
      <c r="N108" s="79"/>
      <c r="O108" s="79"/>
      <c r="P108" s="79"/>
      <c r="Q108" s="80">
        <f t="shared" si="9"/>
        <v>2763.5</v>
      </c>
      <c r="R108" s="105">
        <v>9</v>
      </c>
    </row>
    <row r="109" spans="1:18" ht="72" customHeight="1">
      <c r="A109" s="137">
        <v>8</v>
      </c>
      <c r="B109" s="143" t="s">
        <v>82</v>
      </c>
      <c r="C109" s="77">
        <v>1.5</v>
      </c>
      <c r="D109" s="141">
        <v>5527</v>
      </c>
      <c r="E109" s="79"/>
      <c r="F109" s="140"/>
      <c r="G109" s="79"/>
      <c r="H109" s="79"/>
      <c r="I109" s="79"/>
      <c r="J109" s="79"/>
      <c r="K109" s="59">
        <f t="shared" si="8"/>
        <v>5527</v>
      </c>
      <c r="L109" s="79"/>
      <c r="M109" s="79"/>
      <c r="N109" s="79"/>
      <c r="O109" s="79"/>
      <c r="P109" s="79"/>
      <c r="Q109" s="80">
        <f t="shared" si="9"/>
        <v>8290.5</v>
      </c>
      <c r="R109" s="105">
        <v>9</v>
      </c>
    </row>
    <row r="110" spans="1:18" ht="47.25" customHeight="1">
      <c r="A110" s="137">
        <v>9</v>
      </c>
      <c r="B110" s="142" t="s">
        <v>83</v>
      </c>
      <c r="C110" s="77">
        <v>0.5</v>
      </c>
      <c r="D110" s="141">
        <v>5527</v>
      </c>
      <c r="E110" s="79"/>
      <c r="F110" s="140"/>
      <c r="G110" s="79"/>
      <c r="H110" s="79"/>
      <c r="I110" s="79"/>
      <c r="J110" s="79"/>
      <c r="K110" s="59">
        <f t="shared" si="8"/>
        <v>5527</v>
      </c>
      <c r="L110" s="79"/>
      <c r="M110" s="79"/>
      <c r="N110" s="79"/>
      <c r="O110" s="79"/>
      <c r="P110" s="79"/>
      <c r="Q110" s="80">
        <f t="shared" si="9"/>
        <v>2763.5</v>
      </c>
      <c r="R110" s="105">
        <v>9</v>
      </c>
    </row>
    <row r="111" spans="1:18" ht="39.75" customHeight="1">
      <c r="A111" s="137">
        <v>10</v>
      </c>
      <c r="B111" s="144" t="s">
        <v>84</v>
      </c>
      <c r="C111" s="145">
        <v>1</v>
      </c>
      <c r="D111" s="102">
        <v>4058</v>
      </c>
      <c r="E111" s="146"/>
      <c r="F111" s="140"/>
      <c r="G111" s="146"/>
      <c r="H111" s="146"/>
      <c r="I111" s="146"/>
      <c r="J111" s="146"/>
      <c r="K111" s="102">
        <f t="shared" si="8"/>
        <v>4058</v>
      </c>
      <c r="L111" s="146"/>
      <c r="M111" s="146"/>
      <c r="N111" s="146"/>
      <c r="O111" s="146"/>
      <c r="P111" s="146"/>
      <c r="Q111" s="102">
        <f t="shared" si="9"/>
        <v>4058</v>
      </c>
      <c r="R111" s="170">
        <v>4</v>
      </c>
    </row>
    <row r="112" spans="1:18" ht="33.75" customHeight="1">
      <c r="A112" s="455" t="s">
        <v>32</v>
      </c>
      <c r="B112" s="456"/>
      <c r="C112" s="92">
        <f>SUM(C102:C111)</f>
        <v>7.5</v>
      </c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71">
        <f>SUM(Q102:Q111)</f>
        <v>52744.5</v>
      </c>
      <c r="R112" s="91"/>
    </row>
    <row r="113" spans="1:18" ht="39.75" customHeight="1">
      <c r="A113" s="147" t="s">
        <v>85</v>
      </c>
      <c r="B113" s="148"/>
      <c r="C113" s="69">
        <f>SUM(C102:C111)</f>
        <v>7.5</v>
      </c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11" t="s">
        <v>86</v>
      </c>
      <c r="P113" s="68"/>
      <c r="Q113" s="172">
        <f>Q112</f>
        <v>52744.5</v>
      </c>
      <c r="R113" s="70"/>
    </row>
    <row r="114" spans="1:18" ht="3" customHeight="1">
      <c r="A114" s="148"/>
      <c r="B114" s="148"/>
      <c r="C114" s="149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</row>
    <row r="115" spans="1:18" ht="39.75" customHeight="1">
      <c r="A115" s="148"/>
      <c r="B115" s="495" t="s">
        <v>87</v>
      </c>
      <c r="C115" s="496"/>
      <c r="D115" s="150">
        <f>C24</f>
        <v>6</v>
      </c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73">
        <f>Q24</f>
        <v>86735</v>
      </c>
      <c r="R115" s="174"/>
    </row>
    <row r="116" spans="1:18" ht="39.75" customHeight="1">
      <c r="A116" s="152"/>
      <c r="B116" s="485" t="s">
        <v>88</v>
      </c>
      <c r="C116" s="485"/>
      <c r="D116" s="150">
        <f>C49+C56+C64+C113+C78</f>
        <v>41.25</v>
      </c>
      <c r="E116" s="151"/>
      <c r="F116" s="151"/>
      <c r="G116" s="151"/>
      <c r="H116" s="153"/>
      <c r="I116" s="151"/>
      <c r="J116" s="151"/>
      <c r="K116" s="151"/>
      <c r="L116" s="151"/>
      <c r="M116" s="151"/>
      <c r="N116" s="151"/>
      <c r="O116" s="151"/>
      <c r="P116" s="153"/>
      <c r="Q116" s="175">
        <f>SUM(Q49+Q56+Q64+Q78+Q113)</f>
        <v>205167.69700000001</v>
      </c>
      <c r="R116" s="174"/>
    </row>
    <row r="117" spans="1:18" ht="39.75" customHeight="1">
      <c r="A117" s="152"/>
      <c r="B117" s="486" t="s">
        <v>89</v>
      </c>
      <c r="C117" s="486"/>
      <c r="D117" s="150">
        <f>D115+D116</f>
        <v>47.25</v>
      </c>
      <c r="E117" s="151"/>
      <c r="F117" s="151"/>
      <c r="G117" s="151"/>
      <c r="H117" s="151"/>
      <c r="I117" s="151"/>
      <c r="J117" s="151"/>
      <c r="K117" s="151"/>
      <c r="L117" s="151"/>
      <c r="M117" s="153"/>
      <c r="N117" s="151"/>
      <c r="O117" s="151"/>
      <c r="P117" s="151"/>
      <c r="Q117" s="176">
        <f>Q115+Q116</f>
        <v>291902.69700000004</v>
      </c>
      <c r="R117" s="174"/>
    </row>
    <row r="118" spans="1:18" ht="39.75" customHeight="1">
      <c r="A118" s="152" t="s">
        <v>90</v>
      </c>
      <c r="B118" s="154"/>
      <c r="C118" s="155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48"/>
    </row>
    <row r="119" spans="1:18" ht="39">
      <c r="A119" s="70"/>
      <c r="B119" s="70"/>
      <c r="C119" s="97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</row>
    <row r="120" spans="1:18" ht="51" customHeight="1">
      <c r="A120" s="447" t="s">
        <v>0</v>
      </c>
      <c r="B120" s="447" t="s">
        <v>1</v>
      </c>
      <c r="C120" s="492" t="s">
        <v>2</v>
      </c>
      <c r="D120" s="447" t="s">
        <v>91</v>
      </c>
      <c r="E120" s="487" t="s">
        <v>4</v>
      </c>
      <c r="F120" s="488"/>
      <c r="G120" s="488"/>
      <c r="H120" s="488"/>
      <c r="I120" s="488"/>
      <c r="J120" s="489"/>
      <c r="K120" s="416" t="s">
        <v>5</v>
      </c>
      <c r="L120" s="490" t="s">
        <v>6</v>
      </c>
      <c r="M120" s="490"/>
      <c r="N120" s="490"/>
      <c r="O120" s="490" t="s">
        <v>7</v>
      </c>
      <c r="P120" s="490"/>
      <c r="Q120" s="416" t="s">
        <v>8</v>
      </c>
      <c r="R120" s="416" t="s">
        <v>92</v>
      </c>
    </row>
    <row r="121" spans="1:18" ht="76.5" customHeight="1">
      <c r="A121" s="448"/>
      <c r="B121" s="448"/>
      <c r="C121" s="493"/>
      <c r="D121" s="448"/>
      <c r="E121" s="416" t="s">
        <v>93</v>
      </c>
      <c r="F121" s="416" t="s">
        <v>11</v>
      </c>
      <c r="G121" s="156" t="s">
        <v>72</v>
      </c>
      <c r="H121" s="416" t="s">
        <v>73</v>
      </c>
      <c r="I121" s="416" t="s">
        <v>94</v>
      </c>
      <c r="J121" s="416" t="s">
        <v>75</v>
      </c>
      <c r="K121" s="418"/>
      <c r="L121" s="416" t="s">
        <v>16</v>
      </c>
      <c r="M121" s="416" t="s">
        <v>17</v>
      </c>
      <c r="N121" s="416" t="s">
        <v>18</v>
      </c>
      <c r="O121" s="416" t="s">
        <v>19</v>
      </c>
      <c r="P121" s="416" t="s">
        <v>20</v>
      </c>
      <c r="Q121" s="418"/>
      <c r="R121" s="418"/>
    </row>
    <row r="122" spans="1:18" ht="92.25" customHeight="1">
      <c r="A122" s="449"/>
      <c r="B122" s="449"/>
      <c r="C122" s="494"/>
      <c r="D122" s="449"/>
      <c r="E122" s="417"/>
      <c r="F122" s="417"/>
      <c r="G122" s="158"/>
      <c r="H122" s="417"/>
      <c r="I122" s="417"/>
      <c r="J122" s="417"/>
      <c r="K122" s="417"/>
      <c r="L122" s="417"/>
      <c r="M122" s="417"/>
      <c r="N122" s="417"/>
      <c r="O122" s="417"/>
      <c r="P122" s="417"/>
      <c r="Q122" s="417"/>
      <c r="R122" s="417"/>
    </row>
    <row r="123" spans="1:18" ht="30.75">
      <c r="A123" s="157">
        <v>1</v>
      </c>
      <c r="B123" s="159">
        <v>2</v>
      </c>
      <c r="C123" s="160">
        <v>3</v>
      </c>
      <c r="D123" s="159">
        <v>4</v>
      </c>
      <c r="E123" s="159">
        <v>5</v>
      </c>
      <c r="F123" s="159">
        <v>6</v>
      </c>
      <c r="G123" s="159">
        <v>7</v>
      </c>
      <c r="H123" s="159">
        <v>8</v>
      </c>
      <c r="I123" s="159">
        <v>9</v>
      </c>
      <c r="J123" s="159">
        <v>10</v>
      </c>
      <c r="K123" s="159">
        <v>11</v>
      </c>
      <c r="L123" s="159">
        <v>12</v>
      </c>
      <c r="M123" s="159">
        <v>13</v>
      </c>
      <c r="N123" s="159">
        <v>14</v>
      </c>
      <c r="O123" s="159">
        <v>15</v>
      </c>
      <c r="P123" s="159">
        <v>16</v>
      </c>
      <c r="Q123" s="159">
        <v>17</v>
      </c>
      <c r="R123" s="159">
        <v>18</v>
      </c>
    </row>
    <row r="124" spans="1:18" ht="37.5">
      <c r="A124" s="491" t="s">
        <v>95</v>
      </c>
      <c r="B124" s="491"/>
      <c r="C124" s="491"/>
      <c r="D124" s="491"/>
      <c r="E124" s="491"/>
      <c r="F124" s="491"/>
      <c r="G124" s="491"/>
      <c r="H124" s="491"/>
      <c r="I124" s="491"/>
      <c r="J124" s="491"/>
      <c r="K124" s="491"/>
      <c r="L124" s="491"/>
      <c r="M124" s="491"/>
      <c r="N124" s="491"/>
      <c r="O124" s="491"/>
      <c r="P124" s="491"/>
      <c r="Q124" s="491"/>
      <c r="R124" s="491"/>
    </row>
    <row r="125" spans="1:18" ht="39">
      <c r="A125" s="161"/>
      <c r="B125" s="70"/>
      <c r="C125" s="97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</row>
    <row r="126" spans="1:18" ht="0.75" customHeight="1">
      <c r="A126" s="57"/>
      <c r="B126" s="138"/>
      <c r="C126" s="139"/>
      <c r="D126" s="162"/>
      <c r="E126" s="163"/>
      <c r="F126" s="163"/>
      <c r="G126" s="164"/>
      <c r="H126" s="163"/>
      <c r="I126" s="163"/>
      <c r="J126" s="168"/>
      <c r="K126" s="168"/>
      <c r="L126" s="163"/>
      <c r="M126" s="163"/>
      <c r="N126" s="163"/>
      <c r="O126" s="163"/>
      <c r="P126" s="163"/>
      <c r="Q126" s="177"/>
      <c r="R126" s="162"/>
    </row>
    <row r="127" spans="1:18" ht="75" customHeight="1">
      <c r="A127" s="137">
        <v>1</v>
      </c>
      <c r="B127" s="165" t="s">
        <v>96</v>
      </c>
      <c r="C127" s="58">
        <v>1</v>
      </c>
      <c r="D127" s="59">
        <v>6294</v>
      </c>
      <c r="E127" s="166"/>
      <c r="F127" s="140"/>
      <c r="G127" s="59">
        <v>818.72</v>
      </c>
      <c r="H127" s="166"/>
      <c r="I127" s="166"/>
      <c r="J127" s="166">
        <f>(D127+G127)*15%</f>
        <v>1066.908</v>
      </c>
      <c r="K127" s="79">
        <f aca="true" t="shared" si="10" ref="K127:K135">SUM(D127:J127)</f>
        <v>8179.628000000001</v>
      </c>
      <c r="L127" s="166"/>
      <c r="M127" s="166"/>
      <c r="N127" s="166">
        <f>K127*0.3</f>
        <v>2453.8884000000003</v>
      </c>
      <c r="O127" s="166"/>
      <c r="P127" s="163"/>
      <c r="Q127" s="80">
        <f aca="true" t="shared" si="11" ref="Q127:Q135">SUM(K127:P127)*C127</f>
        <v>10633.5164</v>
      </c>
      <c r="R127" s="121">
        <v>11</v>
      </c>
    </row>
    <row r="128" spans="1:18" ht="75" customHeight="1">
      <c r="A128" s="137">
        <v>2</v>
      </c>
      <c r="B128" s="165" t="s">
        <v>97</v>
      </c>
      <c r="C128" s="58">
        <v>1</v>
      </c>
      <c r="D128" s="59">
        <v>5527</v>
      </c>
      <c r="E128" s="166"/>
      <c r="F128" s="140"/>
      <c r="G128" s="166"/>
      <c r="H128" s="166"/>
      <c r="I128" s="166"/>
      <c r="J128" s="166"/>
      <c r="K128" s="79">
        <f t="shared" si="10"/>
        <v>5527</v>
      </c>
      <c r="L128" s="166"/>
      <c r="M128" s="166"/>
      <c r="N128" s="166">
        <f>K128*0.3</f>
        <v>1658.1</v>
      </c>
      <c r="O128" s="166"/>
      <c r="P128" s="163"/>
      <c r="Q128" s="80">
        <f t="shared" si="11"/>
        <v>7185.1</v>
      </c>
      <c r="R128" s="121">
        <v>9</v>
      </c>
    </row>
    <row r="129" spans="1:18" ht="75" customHeight="1">
      <c r="A129" s="137">
        <v>3</v>
      </c>
      <c r="B129" s="57" t="s">
        <v>98</v>
      </c>
      <c r="C129" s="58">
        <v>0.75</v>
      </c>
      <c r="D129" s="80">
        <v>5527</v>
      </c>
      <c r="E129" s="80"/>
      <c r="F129" s="140"/>
      <c r="G129" s="80"/>
      <c r="H129" s="80"/>
      <c r="I129" s="80" t="s">
        <v>99</v>
      </c>
      <c r="J129" s="80"/>
      <c r="K129" s="79">
        <f t="shared" si="10"/>
        <v>5527</v>
      </c>
      <c r="L129" s="80"/>
      <c r="M129" s="80"/>
      <c r="N129" s="80">
        <f>K129*30%</f>
        <v>1658.1</v>
      </c>
      <c r="O129" s="80"/>
      <c r="P129" s="163"/>
      <c r="Q129" s="80">
        <f t="shared" si="11"/>
        <v>5388.825000000001</v>
      </c>
      <c r="R129" s="121">
        <v>9</v>
      </c>
    </row>
    <row r="130" spans="1:18" s="41" customFormat="1" ht="75" customHeight="1">
      <c r="A130" s="137">
        <v>4</v>
      </c>
      <c r="B130" s="57" t="s">
        <v>100</v>
      </c>
      <c r="C130" s="58">
        <v>0.75</v>
      </c>
      <c r="D130" s="80">
        <v>5240</v>
      </c>
      <c r="E130" s="80"/>
      <c r="F130" s="140"/>
      <c r="G130" s="80"/>
      <c r="H130" s="80"/>
      <c r="I130" s="80"/>
      <c r="J130" s="80"/>
      <c r="K130" s="79">
        <f t="shared" si="10"/>
        <v>5240</v>
      </c>
      <c r="L130" s="80"/>
      <c r="M130" s="80"/>
      <c r="N130" s="80">
        <f>K130*30%</f>
        <v>1572</v>
      </c>
      <c r="O130" s="80"/>
      <c r="P130" s="163"/>
      <c r="Q130" s="80">
        <f t="shared" si="11"/>
        <v>5109</v>
      </c>
      <c r="R130" s="121">
        <v>8</v>
      </c>
    </row>
    <row r="131" spans="1:18" ht="72.75" customHeight="1">
      <c r="A131" s="137">
        <v>5</v>
      </c>
      <c r="B131" s="57" t="s">
        <v>101</v>
      </c>
      <c r="C131" s="58">
        <v>0.5</v>
      </c>
      <c r="D131" s="80">
        <v>5815</v>
      </c>
      <c r="E131" s="80"/>
      <c r="F131" s="140"/>
      <c r="G131" s="80"/>
      <c r="H131" s="59">
        <f>D131*15%</f>
        <v>872.25</v>
      </c>
      <c r="I131" s="80"/>
      <c r="J131" s="80"/>
      <c r="K131" s="79">
        <f t="shared" si="10"/>
        <v>6687.25</v>
      </c>
      <c r="L131" s="80"/>
      <c r="M131" s="80"/>
      <c r="N131" s="80">
        <f>K131*30%</f>
        <v>2006.175</v>
      </c>
      <c r="O131" s="80"/>
      <c r="P131" s="163"/>
      <c r="Q131" s="80">
        <f t="shared" si="11"/>
        <v>4346.7125</v>
      </c>
      <c r="R131" s="121">
        <v>10</v>
      </c>
    </row>
    <row r="132" spans="1:18" ht="37.5" customHeight="1">
      <c r="A132" s="137">
        <v>6</v>
      </c>
      <c r="B132" s="57" t="s">
        <v>102</v>
      </c>
      <c r="C132" s="58">
        <v>1.5</v>
      </c>
      <c r="D132" s="80">
        <v>5815</v>
      </c>
      <c r="E132" s="80"/>
      <c r="F132" s="140"/>
      <c r="G132" s="80"/>
      <c r="H132" s="59"/>
      <c r="I132" s="80"/>
      <c r="J132" s="80"/>
      <c r="K132" s="79">
        <f>D132*C132</f>
        <v>8722.5</v>
      </c>
      <c r="L132" s="80"/>
      <c r="M132" s="80"/>
      <c r="N132" s="80"/>
      <c r="O132" s="80"/>
      <c r="P132" s="213"/>
      <c r="Q132" s="80">
        <f>K132</f>
        <v>8722.5</v>
      </c>
      <c r="R132" s="121">
        <v>10</v>
      </c>
    </row>
    <row r="133" spans="1:18" ht="40.5" customHeight="1">
      <c r="A133" s="137">
        <v>7</v>
      </c>
      <c r="B133" s="57" t="s">
        <v>103</v>
      </c>
      <c r="C133" s="58">
        <v>0.25</v>
      </c>
      <c r="D133" s="80">
        <v>4058</v>
      </c>
      <c r="E133" s="80"/>
      <c r="F133" s="140"/>
      <c r="G133" s="80"/>
      <c r="H133" s="80"/>
      <c r="I133" s="80"/>
      <c r="J133" s="80"/>
      <c r="K133" s="79">
        <f t="shared" si="10"/>
        <v>4058</v>
      </c>
      <c r="L133" s="80"/>
      <c r="M133" s="80"/>
      <c r="N133" s="80"/>
      <c r="O133" s="80">
        <f>D133*12%</f>
        <v>486.96</v>
      </c>
      <c r="P133" s="213"/>
      <c r="Q133" s="80">
        <f t="shared" si="11"/>
        <v>1136.24</v>
      </c>
      <c r="R133" s="121">
        <v>4</v>
      </c>
    </row>
    <row r="134" spans="1:18" ht="93.75" customHeight="1">
      <c r="A134" s="137">
        <v>8</v>
      </c>
      <c r="B134" s="57" t="s">
        <v>104</v>
      </c>
      <c r="C134" s="58">
        <v>0.5</v>
      </c>
      <c r="D134" s="80">
        <v>3483</v>
      </c>
      <c r="E134" s="80"/>
      <c r="F134" s="140"/>
      <c r="G134" s="80"/>
      <c r="H134" s="80"/>
      <c r="I134" s="80"/>
      <c r="J134" s="80"/>
      <c r="K134" s="79">
        <f t="shared" si="10"/>
        <v>3483</v>
      </c>
      <c r="L134" s="80"/>
      <c r="M134" s="80"/>
      <c r="N134" s="80"/>
      <c r="O134" s="80"/>
      <c r="P134" s="80">
        <f>K134*10%</f>
        <v>348.3</v>
      </c>
      <c r="Q134" s="80">
        <f t="shared" si="11"/>
        <v>1915.65</v>
      </c>
      <c r="R134" s="121">
        <v>2</v>
      </c>
    </row>
    <row r="135" spans="1:18" ht="81.75" customHeight="1">
      <c r="A135" s="137">
        <v>9</v>
      </c>
      <c r="B135" s="57" t="s">
        <v>105</v>
      </c>
      <c r="C135" s="58">
        <v>0.75</v>
      </c>
      <c r="D135" s="80">
        <v>3770</v>
      </c>
      <c r="E135" s="80"/>
      <c r="F135" s="140"/>
      <c r="G135" s="80"/>
      <c r="H135" s="80"/>
      <c r="I135" s="80"/>
      <c r="J135" s="80"/>
      <c r="K135" s="79">
        <f t="shared" si="10"/>
        <v>3770</v>
      </c>
      <c r="L135" s="80"/>
      <c r="M135" s="80"/>
      <c r="N135" s="80"/>
      <c r="O135" s="80"/>
      <c r="P135" s="213"/>
      <c r="Q135" s="80">
        <f t="shared" si="11"/>
        <v>2827.5</v>
      </c>
      <c r="R135" s="121">
        <v>3</v>
      </c>
    </row>
    <row r="136" spans="1:18" ht="39.75" customHeight="1">
      <c r="A136" s="178"/>
      <c r="B136" s="72" t="s">
        <v>32</v>
      </c>
      <c r="C136" s="179">
        <f>C127+C128+C129+C130+C131+C132+C133+C134+C135</f>
        <v>7</v>
      </c>
      <c r="D136" s="180"/>
      <c r="E136" s="180"/>
      <c r="F136" s="180"/>
      <c r="G136" s="180"/>
      <c r="H136" s="180"/>
      <c r="I136" s="180"/>
      <c r="J136" s="180"/>
      <c r="K136" s="79"/>
      <c r="L136" s="180"/>
      <c r="M136" s="180"/>
      <c r="N136" s="180"/>
      <c r="O136" s="180"/>
      <c r="P136" s="214"/>
      <c r="Q136" s="120">
        <f>Q127+Q128+Q129+Q130+Q131+Q132+Q133+Q134+Q135</f>
        <v>47265.0439</v>
      </c>
      <c r="R136" s="72"/>
    </row>
    <row r="137" spans="1:18" ht="39.75" customHeight="1">
      <c r="A137" s="178"/>
      <c r="B137" s="178"/>
      <c r="C137" s="179"/>
      <c r="D137" s="72"/>
      <c r="E137" s="72"/>
      <c r="F137" s="72"/>
      <c r="G137" s="72"/>
      <c r="H137" s="72"/>
      <c r="I137" s="72"/>
      <c r="J137" s="72"/>
      <c r="K137" s="104"/>
      <c r="L137" s="72"/>
      <c r="M137" s="72"/>
      <c r="N137" s="72"/>
      <c r="O137" s="72"/>
      <c r="P137" s="72"/>
      <c r="Q137" s="61"/>
      <c r="R137" s="72"/>
    </row>
    <row r="138" spans="1:18" ht="39.75" customHeight="1">
      <c r="A138" s="178"/>
      <c r="B138" s="178"/>
      <c r="C138" s="179"/>
      <c r="D138" s="72"/>
      <c r="E138" s="72"/>
      <c r="F138" s="72"/>
      <c r="G138" s="72"/>
      <c r="H138" s="72"/>
      <c r="I138" s="72"/>
      <c r="J138" s="72"/>
      <c r="K138" s="104"/>
      <c r="L138" s="72"/>
      <c r="M138" s="72"/>
      <c r="N138" s="72"/>
      <c r="O138" s="72"/>
      <c r="P138" s="72"/>
      <c r="Q138" s="120"/>
      <c r="R138" s="72"/>
    </row>
    <row r="139" spans="1:18" ht="39.75" customHeight="1">
      <c r="A139" s="178"/>
      <c r="B139" s="137" t="s">
        <v>106</v>
      </c>
      <c r="C139" s="62">
        <f>C128+C127+C129+C130+C131</f>
        <v>4</v>
      </c>
      <c r="D139" s="61"/>
      <c r="E139" s="61"/>
      <c r="F139" s="61"/>
      <c r="G139" s="61"/>
      <c r="H139" s="61"/>
      <c r="I139" s="61"/>
      <c r="J139" s="61"/>
      <c r="K139" s="215"/>
      <c r="L139" s="61"/>
      <c r="M139" s="61"/>
      <c r="N139" s="61"/>
      <c r="O139" s="61"/>
      <c r="P139" s="61"/>
      <c r="Q139" s="224">
        <f>Q127+Q128+Q129+Q130+Q131</f>
        <v>32663.153899999998</v>
      </c>
      <c r="R139" s="72"/>
    </row>
    <row r="140" spans="1:18" ht="39.75" customHeight="1">
      <c r="A140" s="178"/>
      <c r="B140" s="137" t="s">
        <v>107</v>
      </c>
      <c r="C140" s="62">
        <f>SUM(C135)</f>
        <v>0.75</v>
      </c>
      <c r="D140" s="61"/>
      <c r="E140" s="61"/>
      <c r="F140" s="61"/>
      <c r="G140" s="61"/>
      <c r="H140" s="61"/>
      <c r="I140" s="61"/>
      <c r="J140" s="61"/>
      <c r="K140" s="215"/>
      <c r="L140" s="61"/>
      <c r="M140" s="61"/>
      <c r="N140" s="61"/>
      <c r="O140" s="61"/>
      <c r="P140" s="61"/>
      <c r="Q140" s="224">
        <f>Q135</f>
        <v>2827.5</v>
      </c>
      <c r="R140" s="72"/>
    </row>
    <row r="141" spans="1:18" ht="82.5" customHeight="1">
      <c r="A141" s="178"/>
      <c r="B141" s="181" t="s">
        <v>108</v>
      </c>
      <c r="C141" s="62">
        <f>C132+C133+C134</f>
        <v>2.25</v>
      </c>
      <c r="D141" s="61"/>
      <c r="E141" s="61"/>
      <c r="F141" s="61"/>
      <c r="G141" s="61"/>
      <c r="H141" s="61"/>
      <c r="I141" s="61"/>
      <c r="J141" s="61"/>
      <c r="K141" s="215"/>
      <c r="L141" s="61"/>
      <c r="M141" s="61"/>
      <c r="N141" s="61"/>
      <c r="O141" s="61"/>
      <c r="P141" s="61"/>
      <c r="Q141" s="120">
        <f>Q132+Q133+Q134</f>
        <v>11774.39</v>
      </c>
      <c r="R141" s="72"/>
    </row>
    <row r="142" spans="1:18" ht="39">
      <c r="A142" s="70"/>
      <c r="B142" s="70"/>
      <c r="C142" s="97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</row>
    <row r="143" spans="1:18" ht="48" customHeight="1">
      <c r="A143" s="429" t="s">
        <v>109</v>
      </c>
      <c r="B143" s="429"/>
      <c r="C143" s="429"/>
      <c r="D143" s="429"/>
      <c r="E143" s="429"/>
      <c r="F143" s="429"/>
      <c r="G143" s="429"/>
      <c r="H143" s="429"/>
      <c r="I143" s="429"/>
      <c r="J143" s="429"/>
      <c r="K143" s="429"/>
      <c r="L143" s="429"/>
      <c r="M143" s="429"/>
      <c r="N143" s="429"/>
      <c r="O143" s="429"/>
      <c r="P143" s="429"/>
      <c r="Q143" s="429"/>
      <c r="R143" s="429"/>
    </row>
    <row r="144" spans="1:18" ht="45.75" customHeight="1">
      <c r="A144" s="72">
        <v>1</v>
      </c>
      <c r="B144" s="73">
        <v>2</v>
      </c>
      <c r="C144" s="74">
        <v>3</v>
      </c>
      <c r="D144" s="73">
        <v>4</v>
      </c>
      <c r="E144" s="73">
        <v>5</v>
      </c>
      <c r="F144" s="73">
        <v>6</v>
      </c>
      <c r="G144" s="73">
        <v>7</v>
      </c>
      <c r="H144" s="73">
        <v>8</v>
      </c>
      <c r="I144" s="73">
        <v>9</v>
      </c>
      <c r="J144" s="73">
        <v>10</v>
      </c>
      <c r="K144" s="73">
        <v>11</v>
      </c>
      <c r="L144" s="73">
        <v>12</v>
      </c>
      <c r="M144" s="73">
        <v>13</v>
      </c>
      <c r="N144" s="73">
        <v>14</v>
      </c>
      <c r="O144" s="73">
        <v>15</v>
      </c>
      <c r="P144" s="73">
        <v>16</v>
      </c>
      <c r="Q144" s="73">
        <v>17</v>
      </c>
      <c r="R144" s="73">
        <v>18</v>
      </c>
    </row>
    <row r="145" spans="1:18" ht="76.5">
      <c r="A145" s="182">
        <v>1</v>
      </c>
      <c r="B145" s="409" t="s">
        <v>110</v>
      </c>
      <c r="C145" s="100">
        <v>1</v>
      </c>
      <c r="D145" s="183">
        <v>5815</v>
      </c>
      <c r="E145" s="184"/>
      <c r="F145" s="185"/>
      <c r="G145" s="186"/>
      <c r="H145" s="186">
        <f>D145*0.15</f>
        <v>872.25</v>
      </c>
      <c r="I145" s="186"/>
      <c r="J145" s="186"/>
      <c r="K145" s="101">
        <f>SUM(D145:J145)</f>
        <v>6687.25</v>
      </c>
      <c r="L145" s="186"/>
      <c r="M145" s="186"/>
      <c r="N145" s="186">
        <f>K145*20%</f>
        <v>1337.45</v>
      </c>
      <c r="O145" s="184"/>
      <c r="P145" s="216"/>
      <c r="Q145" s="127">
        <f>SUM(K145:P145)*C145</f>
        <v>8024.7</v>
      </c>
      <c r="R145" s="99">
        <v>10</v>
      </c>
    </row>
    <row r="146" spans="1:18" ht="45" customHeight="1">
      <c r="A146" s="182">
        <v>2</v>
      </c>
      <c r="B146" s="410" t="s">
        <v>111</v>
      </c>
      <c r="C146" s="77">
        <v>0.5</v>
      </c>
      <c r="D146" s="89">
        <v>6294</v>
      </c>
      <c r="E146" s="89"/>
      <c r="F146" s="167"/>
      <c r="G146" s="186"/>
      <c r="H146" s="187"/>
      <c r="I146" s="186"/>
      <c r="J146" s="187"/>
      <c r="K146" s="79">
        <f aca="true" t="shared" si="12" ref="K146:K183">SUM(D146:J146)</f>
        <v>6294</v>
      </c>
      <c r="L146" s="187"/>
      <c r="M146" s="187"/>
      <c r="N146" s="187">
        <f>K146*10%</f>
        <v>629.4000000000001</v>
      </c>
      <c r="O146" s="184"/>
      <c r="P146" s="217"/>
      <c r="Q146" s="80">
        <f>SUM(K146:P146)*C146</f>
        <v>3461.7</v>
      </c>
      <c r="R146" s="76">
        <v>11</v>
      </c>
    </row>
    <row r="147" spans="1:18" ht="75" customHeight="1">
      <c r="A147" s="182">
        <v>3</v>
      </c>
      <c r="B147" s="165" t="s">
        <v>112</v>
      </c>
      <c r="C147" s="58">
        <v>1</v>
      </c>
      <c r="D147" s="82">
        <v>7732</v>
      </c>
      <c r="E147" s="82"/>
      <c r="F147" s="185">
        <f>D147*10%</f>
        <v>773.2</v>
      </c>
      <c r="G147" s="188"/>
      <c r="H147" s="189"/>
      <c r="I147" s="188"/>
      <c r="J147" s="189"/>
      <c r="K147" s="218">
        <f t="shared" si="12"/>
        <v>8505.2</v>
      </c>
      <c r="L147" s="189"/>
      <c r="M147" s="189"/>
      <c r="N147" s="219">
        <f aca="true" t="shared" si="13" ref="N147:N153">K147*0.3</f>
        <v>2551.56</v>
      </c>
      <c r="O147" s="220"/>
      <c r="P147" s="221"/>
      <c r="Q147" s="80">
        <f>SUM(K147:P147)*C147</f>
        <v>11056.76</v>
      </c>
      <c r="R147" s="225">
        <v>14</v>
      </c>
    </row>
    <row r="148" spans="1:18" ht="75" customHeight="1">
      <c r="A148" s="182">
        <v>4</v>
      </c>
      <c r="B148" s="165" t="s">
        <v>320</v>
      </c>
      <c r="C148" s="77"/>
      <c r="D148" s="82">
        <v>7732</v>
      </c>
      <c r="E148" s="89"/>
      <c r="F148" s="185">
        <f>D148*10%</f>
        <v>773.2</v>
      </c>
      <c r="G148" s="186"/>
      <c r="H148" s="187"/>
      <c r="I148" s="186"/>
      <c r="J148" s="187"/>
      <c r="K148" s="218">
        <f t="shared" si="12"/>
        <v>8505.2</v>
      </c>
      <c r="L148" s="187"/>
      <c r="M148" s="187"/>
      <c r="N148" s="219">
        <f t="shared" si="13"/>
        <v>2551.56</v>
      </c>
      <c r="O148" s="184"/>
      <c r="P148" s="217"/>
      <c r="Q148" s="80">
        <f>SUM(K148:P148)*C148</f>
        <v>0</v>
      </c>
      <c r="R148" s="408">
        <v>14</v>
      </c>
    </row>
    <row r="149" spans="1:18" ht="75" customHeight="1">
      <c r="A149" s="182">
        <v>5</v>
      </c>
      <c r="B149" s="410" t="s">
        <v>113</v>
      </c>
      <c r="C149" s="77">
        <v>1</v>
      </c>
      <c r="D149" s="89">
        <v>7253</v>
      </c>
      <c r="E149" s="89"/>
      <c r="F149" s="190"/>
      <c r="G149" s="186"/>
      <c r="H149" s="89"/>
      <c r="I149" s="186"/>
      <c r="J149" s="89"/>
      <c r="K149" s="79">
        <f t="shared" si="12"/>
        <v>7253</v>
      </c>
      <c r="L149" s="89"/>
      <c r="M149" s="89"/>
      <c r="N149" s="187">
        <f t="shared" si="13"/>
        <v>2175.9</v>
      </c>
      <c r="O149" s="184"/>
      <c r="P149" s="217"/>
      <c r="Q149" s="83">
        <f>SUM(K149:P149)*C149</f>
        <v>9428.9</v>
      </c>
      <c r="R149" s="76">
        <v>13</v>
      </c>
    </row>
    <row r="150" spans="1:18" ht="67.5" customHeight="1">
      <c r="A150" s="481">
        <v>6</v>
      </c>
      <c r="B150" s="477" t="s">
        <v>114</v>
      </c>
      <c r="C150" s="479">
        <v>1</v>
      </c>
      <c r="D150" s="483">
        <v>5815</v>
      </c>
      <c r="E150" s="419"/>
      <c r="F150" s="427"/>
      <c r="G150" s="433"/>
      <c r="H150" s="89">
        <f>D150*0.15</f>
        <v>872.25</v>
      </c>
      <c r="I150" s="186"/>
      <c r="J150" s="419"/>
      <c r="K150" s="79">
        <f t="shared" si="12"/>
        <v>6687.25</v>
      </c>
      <c r="L150" s="419"/>
      <c r="M150" s="419"/>
      <c r="N150" s="187">
        <f>K150*0.1</f>
        <v>668.725</v>
      </c>
      <c r="O150" s="184"/>
      <c r="P150" s="425"/>
      <c r="Q150" s="226">
        <f>(K150+N150)*C150</f>
        <v>7355.975</v>
      </c>
      <c r="R150" s="421">
        <v>10</v>
      </c>
    </row>
    <row r="151" spans="1:18" ht="44.25" customHeight="1">
      <c r="A151" s="482"/>
      <c r="B151" s="478"/>
      <c r="C151" s="480"/>
      <c r="D151" s="484"/>
      <c r="E151" s="420"/>
      <c r="F151" s="428"/>
      <c r="G151" s="434"/>
      <c r="H151" s="185">
        <f>D150*0.6</f>
        <v>3489</v>
      </c>
      <c r="I151" s="186"/>
      <c r="J151" s="420"/>
      <c r="K151" s="79">
        <f>D150+H151</f>
        <v>9304</v>
      </c>
      <c r="L151" s="420"/>
      <c r="M151" s="420"/>
      <c r="N151" s="187">
        <f>K151*0.1</f>
        <v>930.4000000000001</v>
      </c>
      <c r="O151" s="184"/>
      <c r="P151" s="426"/>
      <c r="Q151" s="226">
        <f>(K151+N151)*C150</f>
        <v>10234.4</v>
      </c>
      <c r="R151" s="422"/>
    </row>
    <row r="152" spans="1:18" ht="75" customHeight="1">
      <c r="A152" s="192">
        <v>7</v>
      </c>
      <c r="B152" s="410" t="s">
        <v>115</v>
      </c>
      <c r="C152" s="77">
        <v>0.5</v>
      </c>
      <c r="D152" s="89">
        <v>6773</v>
      </c>
      <c r="E152" s="89"/>
      <c r="F152" s="167"/>
      <c r="G152" s="89"/>
      <c r="H152" s="193">
        <f>D152*0.25</f>
        <v>1693.25</v>
      </c>
      <c r="I152" s="89"/>
      <c r="J152" s="89"/>
      <c r="K152" s="79">
        <f t="shared" si="12"/>
        <v>8466.25</v>
      </c>
      <c r="L152" s="89"/>
      <c r="M152" s="89"/>
      <c r="N152" s="187">
        <f t="shared" si="13"/>
        <v>2539.875</v>
      </c>
      <c r="O152" s="184"/>
      <c r="P152" s="217"/>
      <c r="Q152" s="80">
        <f aca="true" t="shared" si="14" ref="Q152:Q177">SUM(K152:P152)*C152</f>
        <v>5503.0625</v>
      </c>
      <c r="R152" s="76">
        <v>12</v>
      </c>
    </row>
    <row r="153" spans="1:18" ht="75" customHeight="1">
      <c r="A153" s="192">
        <v>8</v>
      </c>
      <c r="B153" s="76" t="s">
        <v>116</v>
      </c>
      <c r="C153" s="77">
        <v>1</v>
      </c>
      <c r="D153" s="89">
        <v>7253</v>
      </c>
      <c r="E153" s="89"/>
      <c r="F153" s="167"/>
      <c r="G153" s="89"/>
      <c r="H153" s="89"/>
      <c r="I153" s="89"/>
      <c r="J153" s="89"/>
      <c r="K153" s="79">
        <f t="shared" si="12"/>
        <v>7253</v>
      </c>
      <c r="L153" s="89"/>
      <c r="M153" s="89"/>
      <c r="N153" s="187">
        <f t="shared" si="13"/>
        <v>2175.9</v>
      </c>
      <c r="O153" s="184"/>
      <c r="P153" s="217"/>
      <c r="Q153" s="80">
        <f t="shared" si="14"/>
        <v>9428.9</v>
      </c>
      <c r="R153" s="76">
        <v>13</v>
      </c>
    </row>
    <row r="154" spans="1:18" ht="52.5" customHeight="1">
      <c r="A154" s="192">
        <v>9</v>
      </c>
      <c r="B154" s="76" t="s">
        <v>117</v>
      </c>
      <c r="C154" s="77">
        <v>1</v>
      </c>
      <c r="D154" s="89">
        <v>6294</v>
      </c>
      <c r="E154" s="167"/>
      <c r="F154" s="167"/>
      <c r="G154" s="89"/>
      <c r="H154" s="89">
        <f>D154*25%</f>
        <v>1573.5</v>
      </c>
      <c r="I154" s="89"/>
      <c r="J154" s="89"/>
      <c r="K154" s="79">
        <f t="shared" si="12"/>
        <v>7867.5</v>
      </c>
      <c r="L154" s="89"/>
      <c r="M154" s="89"/>
      <c r="N154" s="89">
        <f>K154*20%</f>
        <v>1573.5</v>
      </c>
      <c r="O154" s="184"/>
      <c r="P154" s="217"/>
      <c r="Q154" s="80">
        <f t="shared" si="14"/>
        <v>9441</v>
      </c>
      <c r="R154" s="76">
        <v>11</v>
      </c>
    </row>
    <row r="155" spans="1:18" ht="72" customHeight="1">
      <c r="A155" s="192">
        <v>10</v>
      </c>
      <c r="B155" s="76" t="s">
        <v>118</v>
      </c>
      <c r="C155" s="77">
        <v>1</v>
      </c>
      <c r="D155" s="89">
        <v>7253</v>
      </c>
      <c r="E155" s="167"/>
      <c r="F155" s="185">
        <f aca="true" t="shared" si="15" ref="F155:F161">D155*10%</f>
        <v>725.3000000000001</v>
      </c>
      <c r="G155" s="89"/>
      <c r="H155" s="89"/>
      <c r="I155" s="89"/>
      <c r="J155" s="89"/>
      <c r="K155" s="79">
        <f t="shared" si="12"/>
        <v>7978.3</v>
      </c>
      <c r="L155" s="89"/>
      <c r="M155" s="89"/>
      <c r="N155" s="193">
        <f>K155*30%</f>
        <v>2393.49</v>
      </c>
      <c r="O155" s="184"/>
      <c r="P155" s="217"/>
      <c r="Q155" s="80">
        <f t="shared" si="14"/>
        <v>10371.79</v>
      </c>
      <c r="R155" s="76">
        <v>13</v>
      </c>
    </row>
    <row r="156" spans="1:18" ht="75" customHeight="1">
      <c r="A156" s="192">
        <v>11</v>
      </c>
      <c r="B156" s="76" t="s">
        <v>119</v>
      </c>
      <c r="C156" s="77">
        <v>0.25</v>
      </c>
      <c r="D156" s="89">
        <v>6294</v>
      </c>
      <c r="E156" s="82"/>
      <c r="F156" s="185">
        <f t="shared" si="15"/>
        <v>629.4000000000001</v>
      </c>
      <c r="G156" s="89"/>
      <c r="H156" s="89"/>
      <c r="I156" s="89"/>
      <c r="J156" s="89"/>
      <c r="K156" s="79">
        <f t="shared" si="12"/>
        <v>6923.4</v>
      </c>
      <c r="L156" s="89"/>
      <c r="M156" s="89"/>
      <c r="N156" s="193">
        <f>K156*10%</f>
        <v>692.34</v>
      </c>
      <c r="O156" s="184"/>
      <c r="P156" s="217"/>
      <c r="Q156" s="80">
        <f t="shared" si="14"/>
        <v>1903.935</v>
      </c>
      <c r="R156" s="76">
        <v>11</v>
      </c>
    </row>
    <row r="157" spans="1:18" ht="45" customHeight="1">
      <c r="A157" s="192">
        <v>12</v>
      </c>
      <c r="B157" s="76" t="s">
        <v>120</v>
      </c>
      <c r="C157" s="77">
        <v>1</v>
      </c>
      <c r="D157" s="89">
        <v>7253</v>
      </c>
      <c r="E157" s="89"/>
      <c r="F157" s="185">
        <f t="shared" si="15"/>
        <v>725.3000000000001</v>
      </c>
      <c r="G157" s="89"/>
      <c r="H157" s="89"/>
      <c r="I157" s="89"/>
      <c r="J157" s="89"/>
      <c r="K157" s="79">
        <f t="shared" si="12"/>
        <v>7978.3</v>
      </c>
      <c r="L157" s="89"/>
      <c r="M157" s="89"/>
      <c r="N157" s="193">
        <f>K157*30%</f>
        <v>2393.49</v>
      </c>
      <c r="O157" s="184"/>
      <c r="P157" s="217"/>
      <c r="Q157" s="80">
        <f t="shared" si="14"/>
        <v>10371.79</v>
      </c>
      <c r="R157" s="76">
        <v>13</v>
      </c>
    </row>
    <row r="158" spans="1:18" ht="45" customHeight="1">
      <c r="A158" s="192">
        <v>13</v>
      </c>
      <c r="B158" s="76" t="s">
        <v>121</v>
      </c>
      <c r="C158" s="77">
        <v>0.5</v>
      </c>
      <c r="D158" s="89">
        <v>6294</v>
      </c>
      <c r="E158" s="89"/>
      <c r="F158" s="185">
        <f t="shared" si="15"/>
        <v>629.4000000000001</v>
      </c>
      <c r="G158" s="89"/>
      <c r="H158" s="89"/>
      <c r="I158" s="89"/>
      <c r="J158" s="89"/>
      <c r="K158" s="79">
        <f t="shared" si="12"/>
        <v>6923.4</v>
      </c>
      <c r="L158" s="89"/>
      <c r="M158" s="89"/>
      <c r="N158" s="193">
        <f>K158*10%</f>
        <v>692.34</v>
      </c>
      <c r="O158" s="184"/>
      <c r="P158" s="217"/>
      <c r="Q158" s="80">
        <f t="shared" si="14"/>
        <v>3807.87</v>
      </c>
      <c r="R158" s="76">
        <v>11</v>
      </c>
    </row>
    <row r="159" spans="1:18" ht="45" customHeight="1">
      <c r="A159" s="194">
        <v>14</v>
      </c>
      <c r="B159" s="76" t="s">
        <v>122</v>
      </c>
      <c r="C159" s="58">
        <v>1</v>
      </c>
      <c r="D159" s="89">
        <v>6294</v>
      </c>
      <c r="E159" s="89"/>
      <c r="F159" s="185">
        <f>D159*15%</f>
        <v>944.0999999999999</v>
      </c>
      <c r="G159" s="89"/>
      <c r="H159" s="89"/>
      <c r="I159" s="89"/>
      <c r="J159" s="89"/>
      <c r="K159" s="79">
        <f t="shared" si="12"/>
        <v>7238.1</v>
      </c>
      <c r="L159" s="89"/>
      <c r="M159" s="89"/>
      <c r="N159" s="193">
        <f>K159*30%</f>
        <v>2171.43</v>
      </c>
      <c r="O159" s="184"/>
      <c r="P159" s="217"/>
      <c r="Q159" s="80">
        <f t="shared" si="14"/>
        <v>9409.53</v>
      </c>
      <c r="R159" s="76">
        <v>11</v>
      </c>
    </row>
    <row r="160" spans="1:18" ht="90" customHeight="1">
      <c r="A160" s="195">
        <v>15</v>
      </c>
      <c r="B160" s="76" t="s">
        <v>123</v>
      </c>
      <c r="C160" s="77">
        <v>1</v>
      </c>
      <c r="D160" s="89">
        <v>6773</v>
      </c>
      <c r="E160" s="196"/>
      <c r="F160" s="185">
        <f t="shared" si="15"/>
        <v>677.3000000000001</v>
      </c>
      <c r="G160" s="89"/>
      <c r="H160" s="89">
        <f>D160*0.15</f>
        <v>1015.9499999999999</v>
      </c>
      <c r="I160" s="89"/>
      <c r="J160" s="89"/>
      <c r="K160" s="79">
        <f t="shared" si="12"/>
        <v>8466.25</v>
      </c>
      <c r="L160" s="89"/>
      <c r="M160" s="89"/>
      <c r="N160" s="193">
        <f>K160*30%</f>
        <v>2539.875</v>
      </c>
      <c r="O160" s="184"/>
      <c r="P160" s="217"/>
      <c r="Q160" s="80">
        <f t="shared" si="14"/>
        <v>11006.125</v>
      </c>
      <c r="R160" s="76">
        <v>12</v>
      </c>
    </row>
    <row r="161" spans="1:18" ht="117" customHeight="1">
      <c r="A161" s="192">
        <v>16</v>
      </c>
      <c r="B161" s="76" t="s">
        <v>124</v>
      </c>
      <c r="C161" s="77">
        <v>1</v>
      </c>
      <c r="D161" s="89">
        <v>6773</v>
      </c>
      <c r="E161" s="82"/>
      <c r="F161" s="185">
        <f t="shared" si="15"/>
        <v>677.3000000000001</v>
      </c>
      <c r="G161" s="89"/>
      <c r="H161" s="89">
        <f>D161*0.15</f>
        <v>1015.9499999999999</v>
      </c>
      <c r="I161" s="89"/>
      <c r="J161" s="89"/>
      <c r="K161" s="79">
        <f t="shared" si="12"/>
        <v>8466.25</v>
      </c>
      <c r="L161" s="89"/>
      <c r="M161" s="89"/>
      <c r="N161" s="193">
        <f>K161*30%</f>
        <v>2539.875</v>
      </c>
      <c r="O161" s="184"/>
      <c r="P161" s="217"/>
      <c r="Q161" s="80">
        <f t="shared" si="14"/>
        <v>11006.125</v>
      </c>
      <c r="R161" s="76">
        <v>12</v>
      </c>
    </row>
    <row r="162" spans="1:18" ht="38.25" hidden="1">
      <c r="A162" s="192">
        <v>20</v>
      </c>
      <c r="B162" s="76" t="s">
        <v>125</v>
      </c>
      <c r="C162" s="77"/>
      <c r="D162" s="89"/>
      <c r="E162" s="89"/>
      <c r="F162" s="167"/>
      <c r="G162" s="89"/>
      <c r="H162" s="89"/>
      <c r="I162" s="89"/>
      <c r="J162" s="89"/>
      <c r="K162" s="79">
        <f t="shared" si="12"/>
        <v>0</v>
      </c>
      <c r="L162" s="89"/>
      <c r="M162" s="89"/>
      <c r="N162" s="187">
        <f>K162*20%</f>
        <v>0</v>
      </c>
      <c r="O162" s="184"/>
      <c r="P162" s="217"/>
      <c r="Q162" s="80">
        <f t="shared" si="14"/>
        <v>0</v>
      </c>
      <c r="R162" s="76"/>
    </row>
    <row r="163" spans="1:18" ht="75" customHeight="1">
      <c r="A163" s="192">
        <v>17</v>
      </c>
      <c r="B163" s="76" t="s">
        <v>126</v>
      </c>
      <c r="C163" s="77">
        <v>0.5</v>
      </c>
      <c r="D163" s="187">
        <v>5815</v>
      </c>
      <c r="E163" s="187"/>
      <c r="F163" s="167"/>
      <c r="G163" s="89"/>
      <c r="H163" s="187">
        <f>D163*15%</f>
        <v>872.25</v>
      </c>
      <c r="I163" s="89"/>
      <c r="J163" s="187"/>
      <c r="K163" s="79">
        <f t="shared" si="12"/>
        <v>6687.25</v>
      </c>
      <c r="L163" s="187"/>
      <c r="M163" s="187"/>
      <c r="N163" s="187">
        <f aca="true" t="shared" si="16" ref="N163:N168">K163*30%</f>
        <v>2006.175</v>
      </c>
      <c r="O163" s="184"/>
      <c r="P163" s="217"/>
      <c r="Q163" s="80">
        <f t="shared" si="14"/>
        <v>4346.7125</v>
      </c>
      <c r="R163" s="76">
        <v>10</v>
      </c>
    </row>
    <row r="164" spans="1:18" ht="75" customHeight="1">
      <c r="A164" s="192">
        <v>18</v>
      </c>
      <c r="B164" s="76" t="s">
        <v>127</v>
      </c>
      <c r="C164" s="77">
        <v>0.5</v>
      </c>
      <c r="D164" s="187">
        <v>6294</v>
      </c>
      <c r="E164" s="89"/>
      <c r="F164" s="167"/>
      <c r="G164" s="89"/>
      <c r="H164" s="187">
        <f>D164*15%</f>
        <v>944.0999999999999</v>
      </c>
      <c r="I164" s="89"/>
      <c r="J164" s="89"/>
      <c r="K164" s="79">
        <f t="shared" si="12"/>
        <v>7238.1</v>
      </c>
      <c r="L164" s="89"/>
      <c r="M164" s="89"/>
      <c r="N164" s="187">
        <f t="shared" si="16"/>
        <v>2171.43</v>
      </c>
      <c r="O164" s="184"/>
      <c r="P164" s="217"/>
      <c r="Q164" s="80">
        <f t="shared" si="14"/>
        <v>4704.765</v>
      </c>
      <c r="R164" s="76">
        <v>11</v>
      </c>
    </row>
    <row r="165" spans="1:18" ht="75" customHeight="1">
      <c r="A165" s="192">
        <v>19</v>
      </c>
      <c r="B165" s="76" t="s">
        <v>128</v>
      </c>
      <c r="C165" s="77">
        <v>0.5</v>
      </c>
      <c r="D165" s="89">
        <v>6294</v>
      </c>
      <c r="E165" s="89"/>
      <c r="F165" s="167"/>
      <c r="G165" s="89"/>
      <c r="H165" s="187">
        <f>D165*15%</f>
        <v>944.0999999999999</v>
      </c>
      <c r="I165" s="89"/>
      <c r="J165" s="89"/>
      <c r="K165" s="79">
        <f t="shared" si="12"/>
        <v>7238.1</v>
      </c>
      <c r="L165" s="89"/>
      <c r="M165" s="89"/>
      <c r="N165" s="187">
        <f>K165*10%</f>
        <v>723.8100000000001</v>
      </c>
      <c r="O165" s="184"/>
      <c r="P165" s="217"/>
      <c r="Q165" s="80">
        <f t="shared" si="14"/>
        <v>3980.9550000000004</v>
      </c>
      <c r="R165" s="76">
        <v>11</v>
      </c>
    </row>
    <row r="166" spans="1:18" ht="75" customHeight="1">
      <c r="A166" s="192">
        <v>20</v>
      </c>
      <c r="B166" s="76" t="s">
        <v>129</v>
      </c>
      <c r="C166" s="77">
        <v>1</v>
      </c>
      <c r="D166" s="89">
        <v>7253</v>
      </c>
      <c r="E166" s="89"/>
      <c r="F166" s="167"/>
      <c r="G166" s="89"/>
      <c r="H166" s="89"/>
      <c r="I166" s="89"/>
      <c r="J166" s="89"/>
      <c r="K166" s="79">
        <f t="shared" si="12"/>
        <v>7253</v>
      </c>
      <c r="L166" s="89"/>
      <c r="M166" s="89"/>
      <c r="N166" s="89">
        <f t="shared" si="16"/>
        <v>2175.9</v>
      </c>
      <c r="O166" s="184"/>
      <c r="P166" s="217"/>
      <c r="Q166" s="80">
        <f t="shared" si="14"/>
        <v>9428.9</v>
      </c>
      <c r="R166" s="76">
        <v>13</v>
      </c>
    </row>
    <row r="167" spans="1:18" ht="75" customHeight="1">
      <c r="A167" s="192">
        <v>21</v>
      </c>
      <c r="B167" s="197" t="s">
        <v>130</v>
      </c>
      <c r="C167" s="58">
        <v>0.5</v>
      </c>
      <c r="D167" s="82">
        <v>7253</v>
      </c>
      <c r="E167" s="82"/>
      <c r="F167" s="167"/>
      <c r="G167" s="89"/>
      <c r="H167" s="82">
        <f>D167*0.15</f>
        <v>1087.95</v>
      </c>
      <c r="I167" s="89"/>
      <c r="J167" s="82"/>
      <c r="K167" s="79">
        <f t="shared" si="12"/>
        <v>8340.95</v>
      </c>
      <c r="L167" s="82"/>
      <c r="M167" s="82"/>
      <c r="N167" s="82">
        <f t="shared" si="16"/>
        <v>2502.2850000000003</v>
      </c>
      <c r="O167" s="184"/>
      <c r="P167" s="57"/>
      <c r="Q167" s="80">
        <f t="shared" si="14"/>
        <v>5421.6175</v>
      </c>
      <c r="R167" s="57">
        <v>13</v>
      </c>
    </row>
    <row r="168" spans="1:18" ht="75" customHeight="1">
      <c r="A168" s="192">
        <v>22</v>
      </c>
      <c r="B168" s="76" t="s">
        <v>131</v>
      </c>
      <c r="C168" s="77">
        <v>2</v>
      </c>
      <c r="D168" s="89">
        <v>6773</v>
      </c>
      <c r="E168" s="89"/>
      <c r="F168" s="167"/>
      <c r="G168" s="89"/>
      <c r="H168" s="89"/>
      <c r="I168" s="89"/>
      <c r="J168" s="89"/>
      <c r="K168" s="79">
        <f t="shared" si="12"/>
        <v>6773</v>
      </c>
      <c r="L168" s="89"/>
      <c r="M168" s="89"/>
      <c r="N168" s="89">
        <f t="shared" si="16"/>
        <v>2031.8999999999999</v>
      </c>
      <c r="O168" s="184"/>
      <c r="P168" s="217"/>
      <c r="Q168" s="80">
        <f t="shared" si="14"/>
        <v>17609.8</v>
      </c>
      <c r="R168" s="76">
        <v>12</v>
      </c>
    </row>
    <row r="169" spans="1:18" ht="75" customHeight="1">
      <c r="A169" s="192">
        <v>23</v>
      </c>
      <c r="B169" s="76" t="s">
        <v>132</v>
      </c>
      <c r="C169" s="77">
        <v>1</v>
      </c>
      <c r="D169" s="198">
        <v>6294</v>
      </c>
      <c r="E169" s="89"/>
      <c r="F169" s="167"/>
      <c r="G169" s="89"/>
      <c r="H169" s="89"/>
      <c r="I169" s="89"/>
      <c r="J169" s="89"/>
      <c r="K169" s="79">
        <f t="shared" si="12"/>
        <v>6294</v>
      </c>
      <c r="L169" s="89"/>
      <c r="M169" s="89"/>
      <c r="N169" s="89">
        <f>K169*10%</f>
        <v>629.4000000000001</v>
      </c>
      <c r="O169" s="184"/>
      <c r="P169" s="217"/>
      <c r="Q169" s="80">
        <f t="shared" si="14"/>
        <v>6923.4</v>
      </c>
      <c r="R169" s="76">
        <v>11</v>
      </c>
    </row>
    <row r="170" spans="1:18" ht="75" customHeight="1">
      <c r="A170" s="192">
        <v>24</v>
      </c>
      <c r="B170" s="76" t="s">
        <v>133</v>
      </c>
      <c r="C170" s="77">
        <v>0.5</v>
      </c>
      <c r="D170" s="89">
        <v>5815</v>
      </c>
      <c r="E170" s="89"/>
      <c r="F170" s="167"/>
      <c r="G170" s="89"/>
      <c r="H170" s="89"/>
      <c r="I170" s="89"/>
      <c r="J170" s="89"/>
      <c r="K170" s="79">
        <f t="shared" si="12"/>
        <v>5815</v>
      </c>
      <c r="L170" s="89"/>
      <c r="M170" s="89"/>
      <c r="N170" s="89">
        <f>K170*30%</f>
        <v>1744.5</v>
      </c>
      <c r="O170" s="184"/>
      <c r="P170" s="217"/>
      <c r="Q170" s="80">
        <f t="shared" si="14"/>
        <v>3779.75</v>
      </c>
      <c r="R170" s="76">
        <v>10</v>
      </c>
    </row>
    <row r="171" spans="1:18" ht="75" customHeight="1">
      <c r="A171" s="192">
        <v>25</v>
      </c>
      <c r="B171" s="76" t="s">
        <v>134</v>
      </c>
      <c r="C171" s="77">
        <v>0.5</v>
      </c>
      <c r="D171" s="89">
        <v>7253</v>
      </c>
      <c r="E171" s="89"/>
      <c r="F171" s="167"/>
      <c r="G171" s="89"/>
      <c r="H171" s="89"/>
      <c r="I171" s="89"/>
      <c r="J171" s="89"/>
      <c r="K171" s="79">
        <f t="shared" si="12"/>
        <v>7253</v>
      </c>
      <c r="L171" s="89"/>
      <c r="M171" s="89"/>
      <c r="N171" s="89">
        <f>K171*30%</f>
        <v>2175.9</v>
      </c>
      <c r="O171" s="184"/>
      <c r="P171" s="217"/>
      <c r="Q171" s="80">
        <f t="shared" si="14"/>
        <v>4714.45</v>
      </c>
      <c r="R171" s="76">
        <v>13</v>
      </c>
    </row>
    <row r="172" spans="1:18" ht="75" customHeight="1">
      <c r="A172" s="192">
        <v>26</v>
      </c>
      <c r="B172" s="76" t="s">
        <v>135</v>
      </c>
      <c r="C172" s="77">
        <v>1</v>
      </c>
      <c r="D172" s="89">
        <v>5815</v>
      </c>
      <c r="E172" s="89"/>
      <c r="F172" s="167"/>
      <c r="G172" s="89"/>
      <c r="H172" s="89"/>
      <c r="I172" s="89"/>
      <c r="J172" s="89"/>
      <c r="K172" s="79">
        <f t="shared" si="12"/>
        <v>5815</v>
      </c>
      <c r="L172" s="89"/>
      <c r="M172" s="89"/>
      <c r="N172" s="89">
        <f>K172*0%</f>
        <v>0</v>
      </c>
      <c r="O172" s="89"/>
      <c r="P172" s="217"/>
      <c r="Q172" s="80">
        <f t="shared" si="14"/>
        <v>5815</v>
      </c>
      <c r="R172" s="76">
        <v>10</v>
      </c>
    </row>
    <row r="173" spans="1:18" ht="75" customHeight="1">
      <c r="A173" s="192">
        <v>27</v>
      </c>
      <c r="B173" s="76" t="s">
        <v>319</v>
      </c>
      <c r="C173" s="77">
        <v>1</v>
      </c>
      <c r="D173" s="89">
        <v>5815</v>
      </c>
      <c r="E173" s="89"/>
      <c r="F173" s="167"/>
      <c r="G173" s="89"/>
      <c r="H173" s="89"/>
      <c r="I173" s="89"/>
      <c r="J173" s="89"/>
      <c r="K173" s="79">
        <f t="shared" si="12"/>
        <v>5815</v>
      </c>
      <c r="L173" s="89"/>
      <c r="M173" s="89"/>
      <c r="N173" s="89">
        <f>K173*0%</f>
        <v>0</v>
      </c>
      <c r="O173" s="89"/>
      <c r="P173" s="217"/>
      <c r="Q173" s="80">
        <f t="shared" si="14"/>
        <v>5815</v>
      </c>
      <c r="R173" s="76">
        <v>10</v>
      </c>
    </row>
    <row r="174" spans="1:18" ht="75" customHeight="1">
      <c r="A174" s="192">
        <v>28</v>
      </c>
      <c r="B174" s="76" t="s">
        <v>136</v>
      </c>
      <c r="C174" s="77">
        <v>0.25</v>
      </c>
      <c r="D174" s="89">
        <v>6294</v>
      </c>
      <c r="E174" s="89"/>
      <c r="F174" s="167"/>
      <c r="G174" s="89"/>
      <c r="H174" s="89"/>
      <c r="I174" s="89"/>
      <c r="J174" s="89"/>
      <c r="K174" s="79">
        <f t="shared" si="12"/>
        <v>6294</v>
      </c>
      <c r="L174" s="89"/>
      <c r="M174" s="89"/>
      <c r="N174" s="89">
        <f>K174*20%</f>
        <v>1258.8000000000002</v>
      </c>
      <c r="O174" s="89"/>
      <c r="P174" s="217"/>
      <c r="Q174" s="80">
        <f t="shared" si="14"/>
        <v>1888.2</v>
      </c>
      <c r="R174" s="76">
        <v>11</v>
      </c>
    </row>
    <row r="175" spans="1:18" ht="75" customHeight="1">
      <c r="A175" s="192">
        <v>29</v>
      </c>
      <c r="B175" s="76" t="s">
        <v>137</v>
      </c>
      <c r="C175" s="77">
        <v>0.5</v>
      </c>
      <c r="D175" s="89">
        <v>6294</v>
      </c>
      <c r="E175" s="89"/>
      <c r="F175" s="167"/>
      <c r="G175" s="89"/>
      <c r="H175" s="89"/>
      <c r="I175" s="89"/>
      <c r="J175" s="89"/>
      <c r="K175" s="79">
        <f t="shared" si="12"/>
        <v>6294</v>
      </c>
      <c r="L175" s="89"/>
      <c r="M175" s="89"/>
      <c r="N175" s="89">
        <f>K175*20%</f>
        <v>1258.8000000000002</v>
      </c>
      <c r="O175" s="89"/>
      <c r="P175" s="217"/>
      <c r="Q175" s="80">
        <f t="shared" si="14"/>
        <v>3776.4</v>
      </c>
      <c r="R175" s="76">
        <v>11</v>
      </c>
    </row>
    <row r="176" spans="1:18" ht="75" customHeight="1">
      <c r="A176" s="192">
        <v>30</v>
      </c>
      <c r="B176" s="76" t="s">
        <v>138</v>
      </c>
      <c r="C176" s="77">
        <v>0.5</v>
      </c>
      <c r="D176" s="89">
        <v>6294</v>
      </c>
      <c r="E176" s="89"/>
      <c r="F176" s="167"/>
      <c r="G176" s="89"/>
      <c r="H176" s="89"/>
      <c r="I176" s="89"/>
      <c r="J176" s="89"/>
      <c r="K176" s="79">
        <f t="shared" si="12"/>
        <v>6294</v>
      </c>
      <c r="L176" s="89"/>
      <c r="M176" s="89"/>
      <c r="N176" s="89">
        <f>K176*20%</f>
        <v>1258.8000000000002</v>
      </c>
      <c r="O176" s="89"/>
      <c r="P176" s="217"/>
      <c r="Q176" s="80">
        <f t="shared" si="14"/>
        <v>3776.4</v>
      </c>
      <c r="R176" s="76">
        <v>11</v>
      </c>
    </row>
    <row r="177" spans="1:18" ht="75" customHeight="1">
      <c r="A177" s="192">
        <v>31</v>
      </c>
      <c r="B177" s="76" t="s">
        <v>139</v>
      </c>
      <c r="C177" s="77">
        <v>2</v>
      </c>
      <c r="D177" s="89">
        <v>5815</v>
      </c>
      <c r="E177" s="89"/>
      <c r="F177" s="167"/>
      <c r="G177" s="89"/>
      <c r="H177" s="89"/>
      <c r="I177" s="89"/>
      <c r="J177" s="89"/>
      <c r="K177" s="79">
        <f t="shared" si="12"/>
        <v>5815</v>
      </c>
      <c r="L177" s="89"/>
      <c r="M177" s="89"/>
      <c r="N177" s="89">
        <f>K177*0%</f>
        <v>0</v>
      </c>
      <c r="O177" s="89"/>
      <c r="P177" s="217"/>
      <c r="Q177" s="80">
        <f t="shared" si="14"/>
        <v>11630</v>
      </c>
      <c r="R177" s="76">
        <v>10</v>
      </c>
    </row>
    <row r="178" spans="1:18" ht="63.75" customHeight="1">
      <c r="A178" s="70"/>
      <c r="B178" s="70"/>
      <c r="C178" s="97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196">
        <f>Q145+Q146+Q147+Q149+Q150+Q151+Q152+Q153+Q154+Q155+Q156+Q157+Q158+Q159+Q160+Q161+Q163+Q164+Q165+Q166+Q167+Q168+Q169+Q170+Q171+Q172+Q173+Q177</f>
        <v>215982.91249999998</v>
      </c>
      <c r="R178" s="70"/>
    </row>
    <row r="179" spans="1:18" ht="30.75" customHeight="1" hidden="1">
      <c r="A179" s="199">
        <v>33</v>
      </c>
      <c r="B179" s="200" t="s">
        <v>140</v>
      </c>
      <c r="C179" s="201"/>
      <c r="D179" s="202"/>
      <c r="E179" s="203"/>
      <c r="F179" s="203"/>
      <c r="G179" s="203"/>
      <c r="H179" s="203"/>
      <c r="I179" s="203"/>
      <c r="J179" s="203"/>
      <c r="K179" s="104"/>
      <c r="L179" s="203"/>
      <c r="M179" s="203"/>
      <c r="N179" s="203"/>
      <c r="O179" s="203"/>
      <c r="P179" s="203"/>
      <c r="Q179" s="213">
        <f>SUM(K179:P179)*C179</f>
        <v>0</v>
      </c>
      <c r="R179" s="76"/>
    </row>
    <row r="180" spans="1:18" ht="41.25" customHeight="1">
      <c r="A180" s="204"/>
      <c r="B180" s="430" t="s">
        <v>141</v>
      </c>
      <c r="C180" s="431"/>
      <c r="D180" s="431"/>
      <c r="E180" s="431"/>
      <c r="F180" s="431"/>
      <c r="G180" s="431"/>
      <c r="H180" s="431"/>
      <c r="I180" s="431"/>
      <c r="J180" s="431"/>
      <c r="K180" s="431"/>
      <c r="L180" s="431"/>
      <c r="M180" s="431"/>
      <c r="N180" s="431"/>
      <c r="O180" s="431"/>
      <c r="P180" s="431"/>
      <c r="Q180" s="431"/>
      <c r="R180" s="432"/>
    </row>
    <row r="181" spans="1:18" ht="76.5">
      <c r="A181" s="182">
        <v>32</v>
      </c>
      <c r="B181" s="76" t="s">
        <v>142</v>
      </c>
      <c r="C181" s="77">
        <v>1</v>
      </c>
      <c r="D181" s="78">
        <v>7253</v>
      </c>
      <c r="E181" s="141">
        <f>D181*10%</f>
        <v>725.3000000000001</v>
      </c>
      <c r="F181" s="80">
        <f>(D181+E181)*0.1</f>
        <v>797.83</v>
      </c>
      <c r="G181" s="79"/>
      <c r="H181" s="79"/>
      <c r="I181" s="79"/>
      <c r="J181" s="79"/>
      <c r="K181" s="79">
        <f t="shared" si="12"/>
        <v>8776.130000000001</v>
      </c>
      <c r="L181" s="79"/>
      <c r="M181" s="79"/>
      <c r="N181" s="78">
        <f>K181*0.3</f>
        <v>2632.8390000000004</v>
      </c>
      <c r="O181" s="79"/>
      <c r="P181" s="104"/>
      <c r="Q181" s="80">
        <f>SUM(K181:P181)*C181</f>
        <v>11408.969000000001</v>
      </c>
      <c r="R181" s="105">
        <v>13</v>
      </c>
    </row>
    <row r="182" spans="1:18" ht="56.25" customHeight="1">
      <c r="A182" s="182">
        <v>33</v>
      </c>
      <c r="B182" s="76" t="s">
        <v>143</v>
      </c>
      <c r="C182" s="77">
        <v>1</v>
      </c>
      <c r="D182" s="78">
        <v>7253</v>
      </c>
      <c r="E182" s="89"/>
      <c r="F182" s="80">
        <f>(D182+E182)*0.1</f>
        <v>725.3000000000001</v>
      </c>
      <c r="G182" s="79"/>
      <c r="H182" s="89"/>
      <c r="I182" s="89"/>
      <c r="J182" s="89"/>
      <c r="K182" s="79">
        <f t="shared" si="12"/>
        <v>7978.3</v>
      </c>
      <c r="L182" s="89"/>
      <c r="M182" s="89"/>
      <c r="N182" s="59">
        <f>K182*0.3</f>
        <v>2393.49</v>
      </c>
      <c r="O182" s="79"/>
      <c r="P182" s="217"/>
      <c r="Q182" s="80">
        <f>SUM(K182:P182)*C182</f>
        <v>10371.79</v>
      </c>
      <c r="R182" s="105">
        <v>13</v>
      </c>
    </row>
    <row r="183" spans="1:18" ht="76.5">
      <c r="A183" s="182">
        <v>34</v>
      </c>
      <c r="B183" s="76" t="s">
        <v>144</v>
      </c>
      <c r="C183" s="77">
        <v>0.5</v>
      </c>
      <c r="D183" s="78">
        <v>7253</v>
      </c>
      <c r="E183" s="79"/>
      <c r="F183" s="79"/>
      <c r="G183" s="79"/>
      <c r="H183" s="79"/>
      <c r="I183" s="79"/>
      <c r="J183" s="79"/>
      <c r="K183" s="79">
        <f t="shared" si="12"/>
        <v>7253</v>
      </c>
      <c r="L183" s="79"/>
      <c r="M183" s="79"/>
      <c r="N183" s="141">
        <f>K183*0.3</f>
        <v>2175.9</v>
      </c>
      <c r="O183" s="79"/>
      <c r="P183" s="104"/>
      <c r="Q183" s="80">
        <f>SUM(K183:P183)*C183</f>
        <v>4714.45</v>
      </c>
      <c r="R183" s="105">
        <v>13</v>
      </c>
    </row>
    <row r="184" spans="1:18" ht="38.25">
      <c r="A184" s="96" t="s">
        <v>145</v>
      </c>
      <c r="B184" s="148"/>
      <c r="C184" s="205">
        <f>C183+C181+C172+C168+C167+C166+C165+C164+C163+C161+C160+C159+C158+C157+C156+C155+C154+C153+C152+C150+C149+C147+C146+C173+C169+C182+C177+C170+C171+C145+C174+C175+C176+C148</f>
        <v>27.5</v>
      </c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 t="s">
        <v>146</v>
      </c>
      <c r="P184" s="148"/>
      <c r="Q184" s="227">
        <f>Q146+Q147+Q149+Q150+Q151+Q152+Q153+Q154+Q155+Q156+Q157+Q158+Q159+Q160+Q161+Q163+Q164+Q165+Q166+Q167+Q168+Q169+Q170+Q171+Q172+Q173+Q177+Q181+Q182+Q183+Q145</f>
        <v>242478.12150000004</v>
      </c>
      <c r="R184" s="148"/>
    </row>
    <row r="185" spans="1:18" ht="111" customHeight="1">
      <c r="A185" s="96" t="s">
        <v>147</v>
      </c>
      <c r="B185" s="206"/>
      <c r="C185" s="207"/>
      <c r="D185" s="208"/>
      <c r="E185" s="208"/>
      <c r="F185" s="208"/>
      <c r="G185" s="208"/>
      <c r="H185" s="206"/>
      <c r="I185" s="206"/>
      <c r="J185" s="206"/>
      <c r="K185" s="206"/>
      <c r="L185" s="206"/>
      <c r="M185" s="70"/>
      <c r="N185" s="70"/>
      <c r="O185" s="70"/>
      <c r="P185" s="70"/>
      <c r="Q185" s="70" t="s">
        <v>27</v>
      </c>
      <c r="R185" s="70"/>
    </row>
    <row r="186" spans="1:18" ht="43.5" customHeight="1">
      <c r="A186" s="72">
        <v>1</v>
      </c>
      <c r="B186" s="73">
        <v>2</v>
      </c>
      <c r="C186" s="74">
        <v>3</v>
      </c>
      <c r="D186" s="73">
        <v>4</v>
      </c>
      <c r="E186" s="73">
        <v>5</v>
      </c>
      <c r="F186" s="73">
        <v>6</v>
      </c>
      <c r="G186" s="73">
        <v>7</v>
      </c>
      <c r="H186" s="73">
        <v>8</v>
      </c>
      <c r="I186" s="73">
        <v>9</v>
      </c>
      <c r="J186" s="73">
        <v>10</v>
      </c>
      <c r="K186" s="73">
        <v>11</v>
      </c>
      <c r="L186" s="73">
        <v>12</v>
      </c>
      <c r="M186" s="73">
        <v>13</v>
      </c>
      <c r="N186" s="73">
        <v>14</v>
      </c>
      <c r="O186" s="73">
        <v>15</v>
      </c>
      <c r="P186" s="73">
        <v>16</v>
      </c>
      <c r="Q186" s="73">
        <v>17</v>
      </c>
      <c r="R186" s="73">
        <v>18</v>
      </c>
    </row>
    <row r="187" spans="1:18" ht="76.5">
      <c r="A187" s="209">
        <v>1</v>
      </c>
      <c r="B187" s="410" t="s">
        <v>148</v>
      </c>
      <c r="C187" s="77">
        <v>0.75</v>
      </c>
      <c r="D187" s="79">
        <v>5240</v>
      </c>
      <c r="E187" s="79">
        <f>D187*0.1</f>
        <v>524</v>
      </c>
      <c r="F187" s="79"/>
      <c r="G187" s="79"/>
      <c r="H187" s="79"/>
      <c r="I187" s="79"/>
      <c r="J187" s="79"/>
      <c r="K187" s="79">
        <f aca="true" t="shared" si="17" ref="K187:K215">SUM(D187:J187)</f>
        <v>5764</v>
      </c>
      <c r="L187" s="79"/>
      <c r="M187" s="79"/>
      <c r="N187" s="79">
        <f>K187*0.3</f>
        <v>1729.2</v>
      </c>
      <c r="O187" s="79"/>
      <c r="P187" s="104"/>
      <c r="Q187" s="80">
        <f aca="true" t="shared" si="18" ref="Q187:Q192">SUM(K187:P187)*C187</f>
        <v>5619.9</v>
      </c>
      <c r="R187" s="105">
        <v>8</v>
      </c>
    </row>
    <row r="188" spans="1:18" ht="76.5">
      <c r="A188" s="209">
        <v>2</v>
      </c>
      <c r="B188" s="410" t="s">
        <v>149</v>
      </c>
      <c r="C188" s="77">
        <v>0.5</v>
      </c>
      <c r="D188" s="79">
        <v>5240</v>
      </c>
      <c r="E188" s="79"/>
      <c r="F188" s="79"/>
      <c r="G188" s="79"/>
      <c r="H188" s="79"/>
      <c r="I188" s="79"/>
      <c r="J188" s="79"/>
      <c r="K188" s="79">
        <f t="shared" si="17"/>
        <v>5240</v>
      </c>
      <c r="L188" s="79"/>
      <c r="M188" s="79"/>
      <c r="N188" s="79">
        <f>K188*0.3</f>
        <v>1572</v>
      </c>
      <c r="O188" s="79"/>
      <c r="P188" s="104"/>
      <c r="Q188" s="80">
        <f t="shared" si="18"/>
        <v>3406</v>
      </c>
      <c r="R188" s="105">
        <v>8</v>
      </c>
    </row>
    <row r="189" spans="1:18" ht="76.5">
      <c r="A189" s="209">
        <v>3</v>
      </c>
      <c r="B189" s="410" t="s">
        <v>150</v>
      </c>
      <c r="C189" s="77">
        <v>0.5</v>
      </c>
      <c r="D189" s="79">
        <v>5240</v>
      </c>
      <c r="E189" s="79"/>
      <c r="F189" s="79"/>
      <c r="G189" s="79"/>
      <c r="H189" s="79">
        <f>D189*0.25</f>
        <v>1310</v>
      </c>
      <c r="I189" s="79"/>
      <c r="J189" s="79"/>
      <c r="K189" s="79">
        <f t="shared" si="17"/>
        <v>6550</v>
      </c>
      <c r="L189" s="79"/>
      <c r="M189" s="79"/>
      <c r="N189" s="79">
        <f>K189*0.2</f>
        <v>1310</v>
      </c>
      <c r="O189" s="79"/>
      <c r="P189" s="104"/>
      <c r="Q189" s="80">
        <f t="shared" si="18"/>
        <v>3930</v>
      </c>
      <c r="R189" s="105">
        <v>8</v>
      </c>
    </row>
    <row r="190" spans="1:18" ht="75.75" customHeight="1">
      <c r="A190" s="209">
        <v>4</v>
      </c>
      <c r="B190" s="410" t="s">
        <v>151</v>
      </c>
      <c r="C190" s="77">
        <v>1</v>
      </c>
      <c r="D190" s="79">
        <v>5527</v>
      </c>
      <c r="E190" s="79"/>
      <c r="F190" s="79"/>
      <c r="G190" s="79"/>
      <c r="H190" s="79">
        <f>D190*0.15</f>
        <v>829.05</v>
      </c>
      <c r="I190" s="79"/>
      <c r="J190" s="79"/>
      <c r="K190" s="79">
        <f t="shared" si="17"/>
        <v>6356.05</v>
      </c>
      <c r="L190" s="79"/>
      <c r="M190" s="79"/>
      <c r="N190" s="79">
        <f>K190*0.3</f>
        <v>1906.815</v>
      </c>
      <c r="O190" s="79"/>
      <c r="P190" s="104"/>
      <c r="Q190" s="80">
        <f t="shared" si="18"/>
        <v>8262.865</v>
      </c>
      <c r="R190" s="105">
        <v>9</v>
      </c>
    </row>
    <row r="191" spans="1:18" ht="75.75" customHeight="1">
      <c r="A191" s="209">
        <v>5</v>
      </c>
      <c r="B191" s="410" t="s">
        <v>152</v>
      </c>
      <c r="C191" s="77">
        <v>0.75</v>
      </c>
      <c r="D191" s="79">
        <v>5527</v>
      </c>
      <c r="E191" s="79"/>
      <c r="F191" s="79"/>
      <c r="G191" s="79"/>
      <c r="H191" s="79"/>
      <c r="I191" s="79"/>
      <c r="J191" s="79"/>
      <c r="K191" s="79">
        <f t="shared" si="17"/>
        <v>5527</v>
      </c>
      <c r="L191" s="79"/>
      <c r="M191" s="79"/>
      <c r="N191" s="79">
        <f>K191*0.3</f>
        <v>1658.1</v>
      </c>
      <c r="O191" s="79"/>
      <c r="P191" s="104"/>
      <c r="Q191" s="80">
        <f t="shared" si="18"/>
        <v>5388.825000000001</v>
      </c>
      <c r="R191" s="105">
        <v>9</v>
      </c>
    </row>
    <row r="192" spans="1:18" ht="84" customHeight="1">
      <c r="A192" s="209">
        <v>6</v>
      </c>
      <c r="B192" s="410" t="s">
        <v>153</v>
      </c>
      <c r="C192" s="210">
        <v>0.75</v>
      </c>
      <c r="D192" s="79">
        <v>5815</v>
      </c>
      <c r="E192" s="211"/>
      <c r="F192" s="211"/>
      <c r="G192" s="211"/>
      <c r="H192" s="211"/>
      <c r="I192" s="211"/>
      <c r="J192" s="211"/>
      <c r="K192" s="79">
        <f t="shared" si="17"/>
        <v>5815</v>
      </c>
      <c r="L192" s="211"/>
      <c r="M192" s="211"/>
      <c r="N192" s="79">
        <f>K192*0.2</f>
        <v>1163</v>
      </c>
      <c r="O192" s="211"/>
      <c r="P192" s="222"/>
      <c r="Q192" s="80">
        <f t="shared" si="18"/>
        <v>5233.5</v>
      </c>
      <c r="R192" s="228">
        <v>10</v>
      </c>
    </row>
    <row r="193" spans="1:18" ht="38.25" customHeight="1">
      <c r="A193" s="450">
        <v>7</v>
      </c>
      <c r="B193" s="477" t="s">
        <v>154</v>
      </c>
      <c r="C193" s="479">
        <v>0.75</v>
      </c>
      <c r="D193" s="419">
        <v>5527</v>
      </c>
      <c r="E193" s="419"/>
      <c r="F193" s="419"/>
      <c r="G193" s="419"/>
      <c r="H193" s="191">
        <f>D193*0.15</f>
        <v>829.05</v>
      </c>
      <c r="I193" s="419"/>
      <c r="J193" s="419"/>
      <c r="K193" s="79">
        <f t="shared" si="17"/>
        <v>6356.05</v>
      </c>
      <c r="L193" s="419"/>
      <c r="M193" s="419"/>
      <c r="N193" s="223">
        <f>K193*0.3</f>
        <v>1906.815</v>
      </c>
      <c r="O193" s="419"/>
      <c r="P193" s="425"/>
      <c r="Q193" s="419">
        <f>(K193+K194+N193+N194)*C193</f>
        <v>10674.018750000001</v>
      </c>
      <c r="R193" s="423">
        <v>9</v>
      </c>
    </row>
    <row r="194" spans="1:28" s="42" customFormat="1" ht="38.25">
      <c r="A194" s="451"/>
      <c r="B194" s="478"/>
      <c r="C194" s="480"/>
      <c r="D194" s="420"/>
      <c r="E194" s="420"/>
      <c r="F194" s="420"/>
      <c r="G194" s="420"/>
      <c r="H194" s="59">
        <f>D193*0.6</f>
        <v>3316.2</v>
      </c>
      <c r="I194" s="420"/>
      <c r="J194" s="420"/>
      <c r="K194" s="79">
        <f t="shared" si="17"/>
        <v>3316.2</v>
      </c>
      <c r="L194" s="420"/>
      <c r="M194" s="420"/>
      <c r="N194" s="166">
        <f>K194*0.8</f>
        <v>2652.96</v>
      </c>
      <c r="O194" s="420"/>
      <c r="P194" s="426"/>
      <c r="Q194" s="420"/>
      <c r="R194" s="424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18" ht="114.75">
      <c r="A195" s="137">
        <v>8</v>
      </c>
      <c r="B195" s="165" t="s">
        <v>155</v>
      </c>
      <c r="C195" s="58">
        <v>0.75</v>
      </c>
      <c r="D195" s="80">
        <v>4633</v>
      </c>
      <c r="E195" s="80"/>
      <c r="F195" s="80"/>
      <c r="G195" s="80"/>
      <c r="H195" s="80"/>
      <c r="I195" s="80"/>
      <c r="J195" s="80"/>
      <c r="K195" s="79">
        <f t="shared" si="17"/>
        <v>4633</v>
      </c>
      <c r="L195" s="80"/>
      <c r="M195" s="80"/>
      <c r="N195" s="80">
        <f>K195*0.1</f>
        <v>463.3</v>
      </c>
      <c r="O195" s="80"/>
      <c r="P195" s="213"/>
      <c r="Q195" s="80">
        <f aca="true" t="shared" si="19" ref="Q195:Q215">SUM(K195:P195)*C195</f>
        <v>3822.2250000000004</v>
      </c>
      <c r="R195" s="121">
        <v>6</v>
      </c>
    </row>
    <row r="196" spans="1:18" ht="114.75">
      <c r="A196" s="137">
        <v>9</v>
      </c>
      <c r="B196" s="165" t="s">
        <v>156</v>
      </c>
      <c r="C196" s="58">
        <v>1</v>
      </c>
      <c r="D196" s="80">
        <v>5527</v>
      </c>
      <c r="E196" s="80"/>
      <c r="F196" s="80"/>
      <c r="G196" s="80"/>
      <c r="H196" s="80"/>
      <c r="I196" s="80"/>
      <c r="J196" s="80"/>
      <c r="K196" s="79">
        <f t="shared" si="17"/>
        <v>5527</v>
      </c>
      <c r="L196" s="80"/>
      <c r="M196" s="80"/>
      <c r="N196" s="80">
        <f>K196*0.3</f>
        <v>1658.1</v>
      </c>
      <c r="O196" s="80"/>
      <c r="P196" s="213"/>
      <c r="Q196" s="80">
        <f t="shared" si="19"/>
        <v>7185.1</v>
      </c>
      <c r="R196" s="121">
        <v>9</v>
      </c>
    </row>
    <row r="197" spans="1:18" ht="114.75">
      <c r="A197" s="137">
        <v>10</v>
      </c>
      <c r="B197" s="165" t="s">
        <v>157</v>
      </c>
      <c r="C197" s="58">
        <v>0.75</v>
      </c>
      <c r="D197" s="80">
        <v>5527</v>
      </c>
      <c r="E197" s="80"/>
      <c r="F197" s="80"/>
      <c r="G197" s="80"/>
      <c r="H197" s="80"/>
      <c r="I197" s="80"/>
      <c r="J197" s="80"/>
      <c r="K197" s="79">
        <f t="shared" si="17"/>
        <v>5527</v>
      </c>
      <c r="L197" s="80"/>
      <c r="M197" s="80"/>
      <c r="N197" s="80">
        <f>K197*0.3</f>
        <v>1658.1</v>
      </c>
      <c r="O197" s="80"/>
      <c r="P197" s="213"/>
      <c r="Q197" s="80">
        <f t="shared" si="19"/>
        <v>5388.825000000001</v>
      </c>
      <c r="R197" s="121">
        <v>9</v>
      </c>
    </row>
    <row r="198" spans="1:18" ht="114.75">
      <c r="A198" s="137">
        <v>11</v>
      </c>
      <c r="B198" s="165" t="s">
        <v>158</v>
      </c>
      <c r="C198" s="58">
        <v>1</v>
      </c>
      <c r="D198" s="80">
        <v>5527</v>
      </c>
      <c r="E198" s="80"/>
      <c r="F198" s="80"/>
      <c r="G198" s="80"/>
      <c r="H198" s="80"/>
      <c r="I198" s="80"/>
      <c r="J198" s="80"/>
      <c r="K198" s="79">
        <f t="shared" si="17"/>
        <v>5527</v>
      </c>
      <c r="L198" s="80"/>
      <c r="M198" s="80"/>
      <c r="N198" s="80">
        <f>K198*0.2</f>
        <v>1105.4</v>
      </c>
      <c r="O198" s="80"/>
      <c r="P198" s="213"/>
      <c r="Q198" s="80">
        <f t="shared" si="19"/>
        <v>6632.4</v>
      </c>
      <c r="R198" s="121">
        <v>9</v>
      </c>
    </row>
    <row r="199" spans="1:18" ht="114.75">
      <c r="A199" s="137">
        <v>12</v>
      </c>
      <c r="B199" s="165" t="s">
        <v>159</v>
      </c>
      <c r="C199" s="58">
        <v>0.75</v>
      </c>
      <c r="D199" s="80">
        <v>5527</v>
      </c>
      <c r="E199" s="80"/>
      <c r="F199" s="80"/>
      <c r="G199" s="80"/>
      <c r="H199" s="80"/>
      <c r="I199" s="80"/>
      <c r="J199" s="80"/>
      <c r="K199" s="79">
        <f t="shared" si="17"/>
        <v>5527</v>
      </c>
      <c r="L199" s="80"/>
      <c r="M199" s="80"/>
      <c r="N199" s="80">
        <f>K199*0.3</f>
        <v>1658.1</v>
      </c>
      <c r="O199" s="80"/>
      <c r="P199" s="213"/>
      <c r="Q199" s="80">
        <f t="shared" si="19"/>
        <v>5388.825000000001</v>
      </c>
      <c r="R199" s="121">
        <v>9</v>
      </c>
    </row>
    <row r="200" spans="1:18" ht="114.75">
      <c r="A200" s="137">
        <v>13</v>
      </c>
      <c r="B200" s="165" t="s">
        <v>160</v>
      </c>
      <c r="C200" s="58">
        <v>1</v>
      </c>
      <c r="D200" s="80">
        <v>5527</v>
      </c>
      <c r="E200" s="80"/>
      <c r="F200" s="80"/>
      <c r="G200" s="80"/>
      <c r="H200" s="80"/>
      <c r="I200" s="80"/>
      <c r="J200" s="80"/>
      <c r="K200" s="79">
        <f t="shared" si="17"/>
        <v>5527</v>
      </c>
      <c r="L200" s="80"/>
      <c r="M200" s="80"/>
      <c r="N200" s="80">
        <f>K200*0.3</f>
        <v>1658.1</v>
      </c>
      <c r="O200" s="80"/>
      <c r="P200" s="213"/>
      <c r="Q200" s="80">
        <f t="shared" si="19"/>
        <v>7185.1</v>
      </c>
      <c r="R200" s="121">
        <v>9</v>
      </c>
    </row>
    <row r="201" spans="1:18" ht="103.5" customHeight="1">
      <c r="A201" s="137">
        <v>14</v>
      </c>
      <c r="B201" s="165" t="s">
        <v>161</v>
      </c>
      <c r="C201" s="58">
        <v>0.5</v>
      </c>
      <c r="D201" s="80">
        <v>5527</v>
      </c>
      <c r="E201" s="80"/>
      <c r="F201" s="80"/>
      <c r="G201" s="80"/>
      <c r="H201" s="80">
        <f>D201*0.15</f>
        <v>829.05</v>
      </c>
      <c r="I201" s="80"/>
      <c r="J201" s="80"/>
      <c r="K201" s="79">
        <f t="shared" si="17"/>
        <v>6356.05</v>
      </c>
      <c r="L201" s="80"/>
      <c r="M201" s="80"/>
      <c r="N201" s="80">
        <f>K201*0.3</f>
        <v>1906.815</v>
      </c>
      <c r="O201" s="80"/>
      <c r="P201" s="213"/>
      <c r="Q201" s="80">
        <f t="shared" si="19"/>
        <v>4131.4325</v>
      </c>
      <c r="R201" s="121">
        <v>9</v>
      </c>
    </row>
    <row r="202" spans="1:18" ht="114.75">
      <c r="A202" s="137">
        <v>15</v>
      </c>
      <c r="B202" s="165" t="s">
        <v>162</v>
      </c>
      <c r="C202" s="58">
        <v>0.25</v>
      </c>
      <c r="D202" s="80">
        <v>4633</v>
      </c>
      <c r="E202" s="80"/>
      <c r="F202" s="80"/>
      <c r="G202" s="80"/>
      <c r="H202" s="80">
        <f>D202*0.15</f>
        <v>694.9499999999999</v>
      </c>
      <c r="I202" s="80"/>
      <c r="J202" s="80"/>
      <c r="K202" s="79">
        <f t="shared" si="17"/>
        <v>5327.95</v>
      </c>
      <c r="L202" s="80"/>
      <c r="M202" s="80"/>
      <c r="N202" s="80">
        <f>K202*0.1</f>
        <v>532.795</v>
      </c>
      <c r="O202" s="80"/>
      <c r="P202" s="213"/>
      <c r="Q202" s="80">
        <f t="shared" si="19"/>
        <v>1465.18625</v>
      </c>
      <c r="R202" s="121">
        <v>6</v>
      </c>
    </row>
    <row r="203" spans="1:18" ht="76.5">
      <c r="A203" s="137">
        <v>16</v>
      </c>
      <c r="B203" s="165" t="s">
        <v>163</v>
      </c>
      <c r="C203" s="58">
        <v>0.75</v>
      </c>
      <c r="D203" s="80">
        <v>4920</v>
      </c>
      <c r="E203" s="80"/>
      <c r="F203" s="80"/>
      <c r="G203" s="80"/>
      <c r="H203" s="80"/>
      <c r="I203" s="80"/>
      <c r="J203" s="80"/>
      <c r="K203" s="79">
        <f t="shared" si="17"/>
        <v>4920</v>
      </c>
      <c r="L203" s="80"/>
      <c r="M203" s="80"/>
      <c r="N203" s="80">
        <f>K203*0.1</f>
        <v>492</v>
      </c>
      <c r="O203" s="80"/>
      <c r="P203" s="213"/>
      <c r="Q203" s="80">
        <f t="shared" si="19"/>
        <v>4059</v>
      </c>
      <c r="R203" s="121">
        <v>7</v>
      </c>
    </row>
    <row r="204" spans="1:18" ht="76.5">
      <c r="A204" s="137">
        <v>17</v>
      </c>
      <c r="B204" s="165" t="s">
        <v>164</v>
      </c>
      <c r="C204" s="58">
        <v>0.5</v>
      </c>
      <c r="D204" s="79">
        <v>5527</v>
      </c>
      <c r="E204" s="80"/>
      <c r="F204" s="80"/>
      <c r="G204" s="80"/>
      <c r="H204" s="80"/>
      <c r="I204" s="80"/>
      <c r="J204" s="80"/>
      <c r="K204" s="79">
        <f t="shared" si="17"/>
        <v>5527</v>
      </c>
      <c r="L204" s="80"/>
      <c r="M204" s="80"/>
      <c r="N204" s="80">
        <f aca="true" t="shared" si="20" ref="N204:N215">K204*0.3</f>
        <v>1658.1</v>
      </c>
      <c r="O204" s="80"/>
      <c r="P204" s="213"/>
      <c r="Q204" s="80">
        <f t="shared" si="19"/>
        <v>3592.55</v>
      </c>
      <c r="R204" s="121">
        <v>9</v>
      </c>
    </row>
    <row r="205" spans="1:18" ht="76.5">
      <c r="A205" s="137">
        <v>18</v>
      </c>
      <c r="B205" s="165" t="s">
        <v>165</v>
      </c>
      <c r="C205" s="58">
        <v>0.25</v>
      </c>
      <c r="D205" s="79">
        <v>5527</v>
      </c>
      <c r="E205" s="79"/>
      <c r="F205" s="167"/>
      <c r="G205" s="79"/>
      <c r="H205" s="141"/>
      <c r="I205" s="79"/>
      <c r="J205" s="79"/>
      <c r="K205" s="79">
        <f t="shared" si="17"/>
        <v>5527</v>
      </c>
      <c r="L205" s="79"/>
      <c r="M205" s="79"/>
      <c r="N205" s="79">
        <f t="shared" si="20"/>
        <v>1658.1</v>
      </c>
      <c r="O205" s="79"/>
      <c r="P205" s="105"/>
      <c r="Q205" s="293">
        <f t="shared" si="19"/>
        <v>1796.275</v>
      </c>
      <c r="R205" s="121">
        <v>9</v>
      </c>
    </row>
    <row r="206" spans="1:29" s="43" customFormat="1" ht="76.5">
      <c r="A206" s="137">
        <v>19</v>
      </c>
      <c r="B206" s="165" t="s">
        <v>166</v>
      </c>
      <c r="C206" s="58">
        <v>0.25</v>
      </c>
      <c r="D206" s="80">
        <v>5527</v>
      </c>
      <c r="E206" s="80"/>
      <c r="F206" s="80"/>
      <c r="G206" s="80"/>
      <c r="H206" s="166">
        <f>D206*0.25</f>
        <v>1381.75</v>
      </c>
      <c r="I206" s="166"/>
      <c r="J206" s="166"/>
      <c r="K206" s="79">
        <f t="shared" si="17"/>
        <v>6908.75</v>
      </c>
      <c r="L206" s="166"/>
      <c r="M206" s="166"/>
      <c r="N206" s="166">
        <f t="shared" si="20"/>
        <v>2072.625</v>
      </c>
      <c r="O206" s="80"/>
      <c r="P206" s="213"/>
      <c r="Q206" s="80">
        <f t="shared" si="19"/>
        <v>2245.34375</v>
      </c>
      <c r="R206" s="121">
        <v>9</v>
      </c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18" ht="76.5">
      <c r="A207" s="137">
        <v>20</v>
      </c>
      <c r="B207" s="165" t="s">
        <v>167</v>
      </c>
      <c r="C207" s="58">
        <v>0.5</v>
      </c>
      <c r="D207" s="80">
        <v>4633</v>
      </c>
      <c r="E207" s="80"/>
      <c r="F207" s="80"/>
      <c r="G207" s="80"/>
      <c r="H207" s="166"/>
      <c r="I207" s="166"/>
      <c r="J207" s="166"/>
      <c r="K207" s="79">
        <f t="shared" si="17"/>
        <v>4633</v>
      </c>
      <c r="L207" s="166"/>
      <c r="M207" s="166"/>
      <c r="N207" s="166">
        <f>K207*0.1</f>
        <v>463.3</v>
      </c>
      <c r="O207" s="80"/>
      <c r="P207" s="213"/>
      <c r="Q207" s="80">
        <f t="shared" si="19"/>
        <v>2548.15</v>
      </c>
      <c r="R207" s="121">
        <v>6</v>
      </c>
    </row>
    <row r="208" spans="1:18" ht="76.5">
      <c r="A208" s="137">
        <v>21</v>
      </c>
      <c r="B208" s="165" t="s">
        <v>168</v>
      </c>
      <c r="C208" s="58">
        <v>0.75</v>
      </c>
      <c r="D208" s="80">
        <v>5240</v>
      </c>
      <c r="E208" s="80"/>
      <c r="F208" s="80"/>
      <c r="G208" s="80"/>
      <c r="H208" s="166"/>
      <c r="I208" s="166"/>
      <c r="J208" s="166"/>
      <c r="K208" s="79">
        <f t="shared" si="17"/>
        <v>5240</v>
      </c>
      <c r="L208" s="166"/>
      <c r="M208" s="166"/>
      <c r="N208" s="166">
        <f t="shared" si="20"/>
        <v>1572</v>
      </c>
      <c r="O208" s="80"/>
      <c r="P208" s="213"/>
      <c r="Q208" s="80">
        <f t="shared" si="19"/>
        <v>5109</v>
      </c>
      <c r="R208" s="121">
        <v>8</v>
      </c>
    </row>
    <row r="209" spans="1:18" ht="76.5">
      <c r="A209" s="137">
        <v>22</v>
      </c>
      <c r="B209" s="165" t="s">
        <v>169</v>
      </c>
      <c r="C209" s="58">
        <v>0.5</v>
      </c>
      <c r="D209" s="80">
        <v>5527</v>
      </c>
      <c r="E209" s="80"/>
      <c r="F209" s="80"/>
      <c r="G209" s="80"/>
      <c r="H209" s="166"/>
      <c r="I209" s="166"/>
      <c r="J209" s="166"/>
      <c r="K209" s="79">
        <f t="shared" si="17"/>
        <v>5527</v>
      </c>
      <c r="L209" s="166"/>
      <c r="M209" s="166"/>
      <c r="N209" s="166">
        <f t="shared" si="20"/>
        <v>1658.1</v>
      </c>
      <c r="O209" s="80"/>
      <c r="P209" s="213"/>
      <c r="Q209" s="80">
        <f t="shared" si="19"/>
        <v>3592.55</v>
      </c>
      <c r="R209" s="121">
        <v>9</v>
      </c>
    </row>
    <row r="210" spans="1:18" ht="82.5" customHeight="1">
      <c r="A210" s="137">
        <v>23</v>
      </c>
      <c r="B210" s="165" t="s">
        <v>170</v>
      </c>
      <c r="C210" s="58">
        <v>0.25</v>
      </c>
      <c r="D210" s="80">
        <v>5527</v>
      </c>
      <c r="E210" s="80"/>
      <c r="F210" s="80"/>
      <c r="G210" s="80"/>
      <c r="H210" s="166"/>
      <c r="I210" s="166"/>
      <c r="J210" s="166"/>
      <c r="K210" s="79">
        <f t="shared" si="17"/>
        <v>5527</v>
      </c>
      <c r="L210" s="166"/>
      <c r="M210" s="166"/>
      <c r="N210" s="166">
        <f t="shared" si="20"/>
        <v>1658.1</v>
      </c>
      <c r="O210" s="80"/>
      <c r="P210" s="213"/>
      <c r="Q210" s="80">
        <f t="shared" si="19"/>
        <v>1796.275</v>
      </c>
      <c r="R210" s="121">
        <v>9</v>
      </c>
    </row>
    <row r="211" spans="1:18" ht="74.25" customHeight="1">
      <c r="A211" s="137">
        <v>24</v>
      </c>
      <c r="B211" s="165" t="s">
        <v>171</v>
      </c>
      <c r="C211" s="58">
        <v>0.5</v>
      </c>
      <c r="D211" s="80">
        <v>5527</v>
      </c>
      <c r="E211" s="80"/>
      <c r="F211" s="80"/>
      <c r="G211" s="80"/>
      <c r="H211" s="166"/>
      <c r="I211" s="166"/>
      <c r="J211" s="166"/>
      <c r="K211" s="79">
        <f t="shared" si="17"/>
        <v>5527</v>
      </c>
      <c r="L211" s="166"/>
      <c r="M211" s="166"/>
      <c r="N211" s="166">
        <f t="shared" si="20"/>
        <v>1658.1</v>
      </c>
      <c r="O211" s="80"/>
      <c r="P211" s="213"/>
      <c r="Q211" s="80">
        <f t="shared" si="19"/>
        <v>3592.55</v>
      </c>
      <c r="R211" s="121">
        <v>9</v>
      </c>
    </row>
    <row r="212" spans="1:18" ht="74.25" customHeight="1">
      <c r="A212" s="137">
        <v>25</v>
      </c>
      <c r="B212" s="165" t="s">
        <v>172</v>
      </c>
      <c r="C212" s="58">
        <v>0.75</v>
      </c>
      <c r="D212" s="80">
        <v>5527</v>
      </c>
      <c r="E212" s="80"/>
      <c r="F212" s="80"/>
      <c r="G212" s="80"/>
      <c r="H212" s="166"/>
      <c r="I212" s="166"/>
      <c r="J212" s="166"/>
      <c r="K212" s="79">
        <f t="shared" si="17"/>
        <v>5527</v>
      </c>
      <c r="L212" s="166"/>
      <c r="M212" s="166"/>
      <c r="N212" s="166">
        <f t="shared" si="20"/>
        <v>1658.1</v>
      </c>
      <c r="O212" s="80"/>
      <c r="P212" s="213"/>
      <c r="Q212" s="80">
        <f t="shared" si="19"/>
        <v>5388.825000000001</v>
      </c>
      <c r="R212" s="121">
        <v>9</v>
      </c>
    </row>
    <row r="213" spans="1:18" ht="74.25" customHeight="1">
      <c r="A213" s="137">
        <v>26</v>
      </c>
      <c r="B213" s="165" t="s">
        <v>327</v>
      </c>
      <c r="C213" s="58">
        <v>0.75</v>
      </c>
      <c r="D213" s="80">
        <v>5527</v>
      </c>
      <c r="E213" s="80"/>
      <c r="F213" s="80"/>
      <c r="G213" s="80"/>
      <c r="H213" s="166">
        <f>D213*0.25</f>
        <v>1381.75</v>
      </c>
      <c r="I213" s="166"/>
      <c r="J213" s="166"/>
      <c r="K213" s="79">
        <f t="shared" si="17"/>
        <v>6908.75</v>
      </c>
      <c r="L213" s="166"/>
      <c r="M213" s="166"/>
      <c r="N213" s="166">
        <f t="shared" si="20"/>
        <v>2072.625</v>
      </c>
      <c r="O213" s="80"/>
      <c r="P213" s="213"/>
      <c r="Q213" s="80">
        <f t="shared" si="19"/>
        <v>6736.03125</v>
      </c>
      <c r="R213" s="121">
        <v>9</v>
      </c>
    </row>
    <row r="214" spans="1:18" ht="74.25" customHeight="1">
      <c r="A214" s="137">
        <v>27</v>
      </c>
      <c r="B214" s="165" t="s">
        <v>326</v>
      </c>
      <c r="C214" s="58">
        <v>0.5</v>
      </c>
      <c r="D214" s="80">
        <v>5240</v>
      </c>
      <c r="E214" s="80"/>
      <c r="F214" s="80"/>
      <c r="G214" s="80"/>
      <c r="H214" s="166"/>
      <c r="I214" s="166"/>
      <c r="J214" s="166"/>
      <c r="K214" s="79">
        <f t="shared" si="17"/>
        <v>5240</v>
      </c>
      <c r="L214" s="166"/>
      <c r="M214" s="166"/>
      <c r="N214" s="166">
        <f t="shared" si="20"/>
        <v>1572</v>
      </c>
      <c r="O214" s="80"/>
      <c r="P214" s="213"/>
      <c r="Q214" s="80">
        <f t="shared" si="19"/>
        <v>3406</v>
      </c>
      <c r="R214" s="121">
        <v>8</v>
      </c>
    </row>
    <row r="215" spans="1:18" ht="74.25" customHeight="1">
      <c r="A215" s="137">
        <v>28</v>
      </c>
      <c r="B215" s="165" t="s">
        <v>173</v>
      </c>
      <c r="C215" s="58">
        <v>0.25</v>
      </c>
      <c r="D215" s="80">
        <v>5527</v>
      </c>
      <c r="E215" s="80"/>
      <c r="F215" s="80"/>
      <c r="G215" s="80"/>
      <c r="H215" s="166"/>
      <c r="I215" s="166"/>
      <c r="J215" s="166"/>
      <c r="K215" s="79">
        <f t="shared" si="17"/>
        <v>5527</v>
      </c>
      <c r="L215" s="166"/>
      <c r="M215" s="166"/>
      <c r="N215" s="166">
        <f t="shared" si="20"/>
        <v>1658.1</v>
      </c>
      <c r="O215" s="80"/>
      <c r="P215" s="213"/>
      <c r="Q215" s="80">
        <f t="shared" si="19"/>
        <v>1796.275</v>
      </c>
      <c r="R215" s="121">
        <v>9</v>
      </c>
    </row>
    <row r="216" spans="1:18" ht="38.25">
      <c r="A216" s="474" t="s">
        <v>32</v>
      </c>
      <c r="B216" s="474"/>
      <c r="C216" s="179">
        <f>SUM(C187:C215)</f>
        <v>17.5</v>
      </c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213"/>
      <c r="Q216" s="294">
        <f>SUM(Q187:Q215)</f>
        <v>129373.02749999997</v>
      </c>
      <c r="R216" s="121"/>
    </row>
    <row r="217" spans="1:18" ht="52.5" customHeight="1">
      <c r="A217" s="106"/>
      <c r="B217" s="106"/>
      <c r="C217" s="107"/>
      <c r="D217" s="229"/>
      <c r="E217" s="230"/>
      <c r="F217" s="230"/>
      <c r="G217" s="230"/>
      <c r="H217" s="230"/>
      <c r="I217" s="230"/>
      <c r="J217" s="230"/>
      <c r="K217" s="230"/>
      <c r="L217" s="230"/>
      <c r="M217" s="230"/>
      <c r="N217" s="229"/>
      <c r="O217" s="229"/>
      <c r="P217" s="108"/>
      <c r="Q217" s="130"/>
      <c r="R217" s="109"/>
    </row>
    <row r="218" spans="1:18" ht="49.5" customHeight="1">
      <c r="A218" s="231"/>
      <c r="B218" s="70"/>
      <c r="C218" s="97"/>
      <c r="D218" s="70"/>
      <c r="E218" s="475" t="s">
        <v>174</v>
      </c>
      <c r="F218" s="475"/>
      <c r="G218" s="475"/>
      <c r="H218" s="475"/>
      <c r="I218" s="475"/>
      <c r="J218" s="475"/>
      <c r="K218" s="475"/>
      <c r="L218" s="475"/>
      <c r="M218" s="475"/>
      <c r="N218" s="70"/>
      <c r="O218" s="70"/>
      <c r="P218" s="70"/>
      <c r="Q218" s="70"/>
      <c r="R218" s="70"/>
    </row>
    <row r="219" spans="1:18" ht="36.75" customHeight="1">
      <c r="A219" s="72">
        <v>1</v>
      </c>
      <c r="B219" s="73">
        <v>2</v>
      </c>
      <c r="C219" s="74">
        <v>3</v>
      </c>
      <c r="D219" s="73">
        <v>4</v>
      </c>
      <c r="E219" s="73">
        <v>5</v>
      </c>
      <c r="F219" s="73">
        <v>6</v>
      </c>
      <c r="G219" s="73">
        <v>7</v>
      </c>
      <c r="H219" s="73">
        <v>8</v>
      </c>
      <c r="I219" s="73">
        <v>9</v>
      </c>
      <c r="J219" s="73">
        <v>10</v>
      </c>
      <c r="K219" s="73">
        <v>11</v>
      </c>
      <c r="L219" s="73">
        <v>12</v>
      </c>
      <c r="M219" s="73">
        <v>13</v>
      </c>
      <c r="N219" s="73">
        <v>14</v>
      </c>
      <c r="O219" s="73">
        <v>15</v>
      </c>
      <c r="P219" s="73">
        <v>16</v>
      </c>
      <c r="Q219" s="73">
        <v>17</v>
      </c>
      <c r="R219" s="73">
        <v>18</v>
      </c>
    </row>
    <row r="220" spans="1:18" ht="36" customHeight="1">
      <c r="A220" s="209">
        <v>1</v>
      </c>
      <c r="B220" s="57" t="s">
        <v>175</v>
      </c>
      <c r="C220" s="232">
        <v>1</v>
      </c>
      <c r="D220" s="80">
        <v>4058</v>
      </c>
      <c r="E220" s="80"/>
      <c r="F220" s="80"/>
      <c r="G220" s="80"/>
      <c r="H220" s="80"/>
      <c r="I220" s="80"/>
      <c r="J220" s="80"/>
      <c r="K220" s="79">
        <f>SUM(D220:J220)</f>
        <v>4058</v>
      </c>
      <c r="L220" s="80"/>
      <c r="M220" s="80"/>
      <c r="N220" s="80"/>
      <c r="O220" s="80"/>
      <c r="P220" s="80"/>
      <c r="Q220" s="80">
        <f>SUM(K220:P220)*C220</f>
        <v>4058</v>
      </c>
      <c r="R220" s="121">
        <v>4</v>
      </c>
    </row>
    <row r="221" spans="1:18" ht="75" customHeight="1">
      <c r="A221" s="209">
        <v>2</v>
      </c>
      <c r="B221" s="76" t="s">
        <v>176</v>
      </c>
      <c r="C221" s="77">
        <v>4</v>
      </c>
      <c r="D221" s="80">
        <v>3770</v>
      </c>
      <c r="E221" s="80"/>
      <c r="F221" s="79"/>
      <c r="G221" s="79"/>
      <c r="H221" s="79"/>
      <c r="I221" s="79"/>
      <c r="J221" s="79"/>
      <c r="K221" s="79">
        <f>SUM(D221:J221)</f>
        <v>3770</v>
      </c>
      <c r="L221" s="79"/>
      <c r="M221" s="79"/>
      <c r="N221" s="79"/>
      <c r="O221" s="80"/>
      <c r="P221" s="79">
        <f>K221*10%</f>
        <v>377</v>
      </c>
      <c r="Q221" s="80">
        <f>(K221+O221+P221)*C221</f>
        <v>16588</v>
      </c>
      <c r="R221" s="105">
        <v>3</v>
      </c>
    </row>
    <row r="222" spans="1:18" ht="38.25">
      <c r="A222" s="430" t="s">
        <v>32</v>
      </c>
      <c r="B222" s="432"/>
      <c r="C222" s="233">
        <f>C223+C224</f>
        <v>5</v>
      </c>
      <c r="D222" s="213"/>
      <c r="E222" s="104"/>
      <c r="F222" s="104"/>
      <c r="G222" s="104"/>
      <c r="H222" s="234"/>
      <c r="I222" s="234"/>
      <c r="J222" s="234"/>
      <c r="K222" s="234"/>
      <c r="L222" s="234"/>
      <c r="M222" s="234"/>
      <c r="N222" s="234"/>
      <c r="O222" s="234"/>
      <c r="P222" s="234"/>
      <c r="Q222" s="295">
        <f>SUM(Q220:Q221)</f>
        <v>20646</v>
      </c>
      <c r="R222" s="105"/>
    </row>
    <row r="223" spans="1:18" ht="42" customHeight="1">
      <c r="A223" s="235"/>
      <c r="B223" s="235" t="s">
        <v>107</v>
      </c>
      <c r="C223" s="236">
        <f>SUM(C221:C221)</f>
        <v>4</v>
      </c>
      <c r="D223" s="237"/>
      <c r="E223" s="237"/>
      <c r="F223" s="237"/>
      <c r="G223" s="237"/>
      <c r="H223" s="238"/>
      <c r="I223" s="238"/>
      <c r="J223" s="238"/>
      <c r="K223" s="238"/>
      <c r="L223" s="238"/>
      <c r="M223" s="238"/>
      <c r="N223" s="238"/>
      <c r="O223" s="238"/>
      <c r="P223" s="238"/>
      <c r="Q223" s="296">
        <f>SUM(Q221:Q221)</f>
        <v>16588</v>
      </c>
      <c r="R223" s="297"/>
    </row>
    <row r="224" spans="1:18" ht="41.25" customHeight="1">
      <c r="A224" s="239"/>
      <c r="B224" s="239" t="s">
        <v>108</v>
      </c>
      <c r="C224" s="240">
        <f>C220</f>
        <v>1</v>
      </c>
      <c r="D224" s="241"/>
      <c r="E224" s="241"/>
      <c r="F224" s="241"/>
      <c r="G224" s="241"/>
      <c r="H224" s="242"/>
      <c r="I224" s="242"/>
      <c r="J224" s="242"/>
      <c r="K224" s="242"/>
      <c r="L224" s="242"/>
      <c r="M224" s="242"/>
      <c r="N224" s="242"/>
      <c r="O224" s="242"/>
      <c r="P224" s="242"/>
      <c r="Q224" s="298">
        <f>Q220</f>
        <v>4058</v>
      </c>
      <c r="R224" s="299"/>
    </row>
    <row r="225" spans="1:18" ht="3" customHeight="1" hidden="1">
      <c r="A225" s="243"/>
      <c r="B225" s="243"/>
      <c r="C225" s="244"/>
      <c r="D225" s="108"/>
      <c r="E225" s="108"/>
      <c r="F225" s="108"/>
      <c r="G225" s="108"/>
      <c r="H225" s="245"/>
      <c r="I225" s="245"/>
      <c r="J225" s="245"/>
      <c r="K225" s="245"/>
      <c r="L225" s="245"/>
      <c r="M225" s="245"/>
      <c r="N225" s="245"/>
      <c r="O225" s="245"/>
      <c r="P225" s="245"/>
      <c r="Q225" s="300"/>
      <c r="R225" s="109"/>
    </row>
    <row r="226" spans="1:18" ht="66.75" customHeight="1">
      <c r="A226" s="243"/>
      <c r="B226" s="243"/>
      <c r="C226" s="244"/>
      <c r="D226" s="108"/>
      <c r="E226" s="476" t="s">
        <v>177</v>
      </c>
      <c r="F226" s="476"/>
      <c r="G226" s="476"/>
      <c r="H226" s="476"/>
      <c r="I226" s="476"/>
      <c r="J226" s="476"/>
      <c r="K226" s="476"/>
      <c r="L226" s="245"/>
      <c r="M226" s="245"/>
      <c r="N226" s="245"/>
      <c r="O226" s="245"/>
      <c r="P226" s="245"/>
      <c r="Q226" s="300"/>
      <c r="R226" s="109"/>
    </row>
    <row r="227" spans="1:18" ht="47.25" customHeight="1">
      <c r="A227" s="246">
        <v>1</v>
      </c>
      <c r="B227" s="247" t="s">
        <v>178</v>
      </c>
      <c r="C227" s="145">
        <v>0.5</v>
      </c>
      <c r="D227" s="248">
        <v>5815</v>
      </c>
      <c r="E227" s="249"/>
      <c r="F227" s="185"/>
      <c r="G227" s="249"/>
      <c r="H227" s="248">
        <f>D227*0.6</f>
        <v>3489</v>
      </c>
      <c r="I227" s="248"/>
      <c r="J227" s="248"/>
      <c r="K227" s="127">
        <f>SUM(D227:J227)</f>
        <v>9304</v>
      </c>
      <c r="L227" s="248">
        <f>K227*0.1</f>
        <v>930.4000000000001</v>
      </c>
      <c r="M227" s="248"/>
      <c r="N227" s="248">
        <f>K227*0.1</f>
        <v>930.4000000000001</v>
      </c>
      <c r="O227" s="248"/>
      <c r="P227" s="289"/>
      <c r="Q227" s="127">
        <f>SUM(K227:P227)*C227</f>
        <v>5582.4</v>
      </c>
      <c r="R227" s="301">
        <v>10</v>
      </c>
    </row>
    <row r="228" spans="1:18" ht="38.25">
      <c r="A228" s="246">
        <v>2</v>
      </c>
      <c r="B228" s="247" t="s">
        <v>179</v>
      </c>
      <c r="C228" s="250">
        <v>0.5</v>
      </c>
      <c r="D228" s="248">
        <v>5815</v>
      </c>
      <c r="E228" s="249"/>
      <c r="F228" s="185"/>
      <c r="G228" s="249"/>
      <c r="H228" s="248">
        <f>D228*0.6</f>
        <v>3489</v>
      </c>
      <c r="I228" s="248"/>
      <c r="J228" s="248"/>
      <c r="K228" s="101">
        <f>SUM(D228:J228)</f>
        <v>9304</v>
      </c>
      <c r="L228" s="248">
        <f>K228*0.1</f>
        <v>930.4000000000001</v>
      </c>
      <c r="M228" s="248"/>
      <c r="N228" s="248">
        <f>K228*0.1</f>
        <v>930.4000000000001</v>
      </c>
      <c r="O228" s="248"/>
      <c r="P228" s="289"/>
      <c r="Q228" s="127">
        <f>SUM(K228:P228)*C228</f>
        <v>5582.4</v>
      </c>
      <c r="R228" s="301">
        <v>10</v>
      </c>
    </row>
    <row r="229" spans="1:18" ht="37.5" customHeight="1">
      <c r="A229" s="251"/>
      <c r="B229" s="251" t="s">
        <v>32</v>
      </c>
      <c r="C229" s="62">
        <f>SUM(C227:C228)</f>
        <v>1</v>
      </c>
      <c r="D229" s="252"/>
      <c r="E229" s="252"/>
      <c r="F229" s="252"/>
      <c r="G229" s="252"/>
      <c r="H229" s="252"/>
      <c r="I229" s="252"/>
      <c r="J229" s="252"/>
      <c r="K229" s="252"/>
      <c r="L229" s="252"/>
      <c r="M229" s="252"/>
      <c r="N229" s="252"/>
      <c r="O229" s="252"/>
      <c r="P229" s="252"/>
      <c r="Q229" s="302">
        <f>SUM(Q227:Q228)</f>
        <v>11164.8</v>
      </c>
      <c r="R229" s="251"/>
    </row>
    <row r="230" spans="1:18" ht="42.75" customHeight="1">
      <c r="A230" s="253"/>
      <c r="B230" s="254" t="s">
        <v>180</v>
      </c>
      <c r="C230" s="69">
        <f>C227+C228</f>
        <v>1</v>
      </c>
      <c r="D230" s="255"/>
      <c r="E230" s="255"/>
      <c r="F230" s="255"/>
      <c r="G230" s="255"/>
      <c r="H230" s="255"/>
      <c r="I230" s="255"/>
      <c r="J230" s="255"/>
      <c r="K230" s="255"/>
      <c r="L230" s="255"/>
      <c r="M230" s="255"/>
      <c r="N230" s="255"/>
      <c r="O230" s="255"/>
      <c r="P230" s="255"/>
      <c r="Q230" s="303">
        <f>Q227+Q228</f>
        <v>11164.8</v>
      </c>
      <c r="R230" s="253"/>
    </row>
    <row r="231" spans="1:18" ht="33.75" customHeight="1">
      <c r="A231" s="253"/>
      <c r="B231" s="254" t="s">
        <v>181</v>
      </c>
      <c r="C231" s="69"/>
      <c r="D231" s="255"/>
      <c r="E231" s="255"/>
      <c r="F231" s="255"/>
      <c r="G231" s="255"/>
      <c r="H231" s="255"/>
      <c r="I231" s="255"/>
      <c r="J231" s="255"/>
      <c r="K231" s="255"/>
      <c r="L231" s="255"/>
      <c r="M231" s="255"/>
      <c r="N231" s="255"/>
      <c r="O231" s="255"/>
      <c r="P231" s="255"/>
      <c r="Q231" s="303"/>
      <c r="R231" s="253"/>
    </row>
    <row r="232" spans="1:18" ht="17.25" customHeight="1" hidden="1">
      <c r="A232" s="256"/>
      <c r="B232" s="257"/>
      <c r="C232" s="258"/>
      <c r="D232" s="245"/>
      <c r="E232" s="245"/>
      <c r="F232" s="245"/>
      <c r="G232" s="245"/>
      <c r="H232" s="245"/>
      <c r="I232" s="245"/>
      <c r="J232" s="245"/>
      <c r="K232" s="245"/>
      <c r="L232" s="245"/>
      <c r="M232" s="245"/>
      <c r="N232" s="245"/>
      <c r="O232" s="245"/>
      <c r="P232" s="245"/>
      <c r="Q232" s="245"/>
      <c r="R232" s="256"/>
    </row>
    <row r="233" spans="1:18" ht="27.75" customHeight="1" hidden="1">
      <c r="A233" s="467"/>
      <c r="B233" s="467"/>
      <c r="C233" s="467"/>
      <c r="D233" s="467"/>
      <c r="E233" s="467"/>
      <c r="F233" s="467"/>
      <c r="G233" s="467"/>
      <c r="H233" s="467"/>
      <c r="I233" s="467"/>
      <c r="J233" s="467"/>
      <c r="K233" s="467"/>
      <c r="L233" s="467"/>
      <c r="M233" s="467"/>
      <c r="N233" s="467"/>
      <c r="O233" s="467"/>
      <c r="P233" s="467"/>
      <c r="Q233" s="467"/>
      <c r="R233" s="467"/>
    </row>
    <row r="234" spans="1:18" ht="39" customHeight="1">
      <c r="A234" s="70"/>
      <c r="B234" s="259" t="s">
        <v>182</v>
      </c>
      <c r="C234" s="260"/>
      <c r="D234" s="261"/>
      <c r="E234" s="261"/>
      <c r="F234" s="261"/>
      <c r="G234" s="262">
        <f>G235+G237+G238+G239</f>
        <v>51</v>
      </c>
      <c r="H234" s="261"/>
      <c r="I234" s="261"/>
      <c r="J234" s="261"/>
      <c r="K234" s="261"/>
      <c r="L234" s="261"/>
      <c r="M234" s="290"/>
      <c r="N234" s="261"/>
      <c r="O234" s="261"/>
      <c r="P234" s="261"/>
      <c r="Q234" s="304">
        <f>Q235+Q237+Q238+Q239</f>
        <v>403661.949</v>
      </c>
      <c r="R234" s="70"/>
    </row>
    <row r="235" spans="1:18" ht="39">
      <c r="A235" s="263" t="s">
        <v>183</v>
      </c>
      <c r="B235" s="147" t="s">
        <v>184</v>
      </c>
      <c r="C235" s="149"/>
      <c r="D235" s="148"/>
      <c r="E235" s="148"/>
      <c r="F235" s="148"/>
      <c r="G235" s="264">
        <f>C184+C230</f>
        <v>28.5</v>
      </c>
      <c r="H235" s="148"/>
      <c r="I235" s="148"/>
      <c r="J235" s="148"/>
      <c r="K235" s="148"/>
      <c r="L235" s="148"/>
      <c r="M235" s="148"/>
      <c r="N235" s="148"/>
      <c r="O235" s="291" t="s">
        <v>185</v>
      </c>
      <c r="P235" s="292"/>
      <c r="Q235" s="305">
        <f>Q184+Q230</f>
        <v>253642.92150000003</v>
      </c>
      <c r="R235" s="70"/>
    </row>
    <row r="236" spans="1:18" ht="39">
      <c r="A236" s="263"/>
      <c r="B236" s="265" t="s">
        <v>186</v>
      </c>
      <c r="C236" s="266"/>
      <c r="D236" s="68"/>
      <c r="E236" s="148"/>
      <c r="F236" s="148"/>
      <c r="G236" s="267"/>
      <c r="H236" s="148"/>
      <c r="I236" s="148"/>
      <c r="J236" s="148"/>
      <c r="K236" s="148"/>
      <c r="L236" s="148"/>
      <c r="M236" s="148"/>
      <c r="N236" s="148"/>
      <c r="O236" s="148" t="s">
        <v>35</v>
      </c>
      <c r="P236" s="133"/>
      <c r="Q236" s="306"/>
      <c r="R236" s="70"/>
    </row>
    <row r="237" spans="1:18" ht="39">
      <c r="A237" s="263"/>
      <c r="B237" s="468" t="s">
        <v>187</v>
      </c>
      <c r="C237" s="468"/>
      <c r="D237" s="468"/>
      <c r="E237" s="148"/>
      <c r="F237" s="133"/>
      <c r="G237" s="264">
        <f>C216+C231</f>
        <v>17.5</v>
      </c>
      <c r="H237" s="148"/>
      <c r="I237" s="148"/>
      <c r="J237" s="148"/>
      <c r="K237" s="148"/>
      <c r="L237" s="148"/>
      <c r="M237" s="148"/>
      <c r="N237" s="148"/>
      <c r="O237" s="148"/>
      <c r="P237" s="68"/>
      <c r="Q237" s="307">
        <f>Q216+Q231</f>
        <v>129373.02749999997</v>
      </c>
      <c r="R237" s="70"/>
    </row>
    <row r="238" spans="1:18" ht="27.75" customHeight="1">
      <c r="A238" s="70"/>
      <c r="B238" s="133" t="s">
        <v>107</v>
      </c>
      <c r="C238" s="149"/>
      <c r="D238" s="148"/>
      <c r="E238" s="148"/>
      <c r="F238" s="148"/>
      <c r="G238" s="268">
        <f>C223</f>
        <v>4</v>
      </c>
      <c r="H238" s="148"/>
      <c r="I238" s="148"/>
      <c r="J238" s="148"/>
      <c r="K238" s="148"/>
      <c r="L238" s="148"/>
      <c r="M238" s="148"/>
      <c r="N238" s="148"/>
      <c r="O238" s="148"/>
      <c r="P238" s="148"/>
      <c r="Q238" s="305">
        <f>Q223</f>
        <v>16588</v>
      </c>
      <c r="R238" s="70"/>
    </row>
    <row r="239" spans="1:18" ht="41.25" customHeight="1">
      <c r="A239" s="70"/>
      <c r="B239" s="133" t="s">
        <v>108</v>
      </c>
      <c r="C239" s="149"/>
      <c r="D239" s="148"/>
      <c r="E239" s="148"/>
      <c r="F239" s="133" t="s">
        <v>188</v>
      </c>
      <c r="G239" s="264">
        <f>C224</f>
        <v>1</v>
      </c>
      <c r="H239" s="148"/>
      <c r="I239" s="148"/>
      <c r="J239" s="148"/>
      <c r="K239" s="148"/>
      <c r="L239" s="148"/>
      <c r="M239" s="148"/>
      <c r="N239" s="148"/>
      <c r="O239" s="148"/>
      <c r="P239" s="148"/>
      <c r="Q239" s="305">
        <f>Q224</f>
        <v>4058</v>
      </c>
      <c r="R239" s="70"/>
    </row>
    <row r="240" spans="1:18" ht="41.25" customHeight="1">
      <c r="A240" s="469" t="s">
        <v>189</v>
      </c>
      <c r="B240" s="469"/>
      <c r="C240" s="469"/>
      <c r="D240" s="469"/>
      <c r="E240" s="469"/>
      <c r="F240" s="469"/>
      <c r="G240" s="469"/>
      <c r="H240" s="469"/>
      <c r="I240" s="469"/>
      <c r="J240" s="469"/>
      <c r="K240" s="469"/>
      <c r="L240" s="469"/>
      <c r="M240" s="469"/>
      <c r="N240" s="469"/>
      <c r="O240" s="469"/>
      <c r="P240" s="469"/>
      <c r="Q240" s="469"/>
      <c r="R240" s="469"/>
    </row>
    <row r="241" spans="1:18" ht="15" customHeight="1">
      <c r="A241" s="269"/>
      <c r="B241" s="270"/>
      <c r="C241" s="97"/>
      <c r="D241" s="270"/>
      <c r="E241" s="270"/>
      <c r="F241" s="270"/>
      <c r="G241" s="270"/>
      <c r="H241" s="270"/>
      <c r="I241" s="270"/>
      <c r="J241" s="270"/>
      <c r="K241" s="270"/>
      <c r="L241" s="270"/>
      <c r="M241" s="270"/>
      <c r="N241" s="270"/>
      <c r="O241" s="270"/>
      <c r="P241" s="270"/>
      <c r="Q241" s="270"/>
      <c r="R241" s="270"/>
    </row>
    <row r="242" spans="1:18" ht="51" customHeight="1">
      <c r="A242" s="470" t="s">
        <v>190</v>
      </c>
      <c r="B242" s="470"/>
      <c r="C242" s="470"/>
      <c r="D242" s="470"/>
      <c r="E242" s="470"/>
      <c r="F242" s="470"/>
      <c r="G242" s="470"/>
      <c r="H242" s="470"/>
      <c r="I242" s="470"/>
      <c r="J242" s="470"/>
      <c r="K242" s="470"/>
      <c r="L242" s="470"/>
      <c r="M242" s="470"/>
      <c r="N242" s="470"/>
      <c r="O242" s="470"/>
      <c r="P242" s="470"/>
      <c r="Q242" s="470"/>
      <c r="R242" s="470"/>
    </row>
    <row r="243" spans="1:18" ht="37.5">
      <c r="A243" s="271">
        <v>1</v>
      </c>
      <c r="B243" s="272">
        <v>2</v>
      </c>
      <c r="C243" s="74">
        <v>3</v>
      </c>
      <c r="D243" s="273">
        <v>4</v>
      </c>
      <c r="E243" s="273">
        <v>5</v>
      </c>
      <c r="F243" s="273">
        <v>6</v>
      </c>
      <c r="G243" s="273">
        <v>7</v>
      </c>
      <c r="H243" s="273">
        <v>8</v>
      </c>
      <c r="I243" s="273">
        <v>9</v>
      </c>
      <c r="J243" s="273">
        <v>10</v>
      </c>
      <c r="K243" s="273">
        <v>11</v>
      </c>
      <c r="L243" s="273">
        <v>12</v>
      </c>
      <c r="M243" s="273">
        <v>13</v>
      </c>
      <c r="N243" s="273">
        <v>14</v>
      </c>
      <c r="O243" s="273">
        <v>15</v>
      </c>
      <c r="P243" s="273">
        <v>16</v>
      </c>
      <c r="Q243" s="273">
        <v>17</v>
      </c>
      <c r="R243" s="273">
        <v>18</v>
      </c>
    </row>
    <row r="244" spans="1:18" ht="79.5" customHeight="1" hidden="1">
      <c r="A244" s="274">
        <v>2</v>
      </c>
      <c r="B244" s="275" t="s">
        <v>191</v>
      </c>
      <c r="C244" s="100"/>
      <c r="D244" s="276">
        <v>3207</v>
      </c>
      <c r="E244" s="276"/>
      <c r="F244" s="276"/>
      <c r="G244" s="276"/>
      <c r="H244" s="276"/>
      <c r="I244" s="276"/>
      <c r="J244" s="276"/>
      <c r="K244" s="101">
        <f>D244</f>
        <v>3207</v>
      </c>
      <c r="L244" s="276"/>
      <c r="M244" s="276"/>
      <c r="N244" s="276">
        <f>K244*0.2</f>
        <v>641.4000000000001</v>
      </c>
      <c r="O244" s="276"/>
      <c r="P244" s="276"/>
      <c r="Q244" s="308">
        <f aca="true" t="shared" si="21" ref="Q244:Q252">SUM(K244:P244)*C244</f>
        <v>0</v>
      </c>
      <c r="R244" s="309">
        <v>10</v>
      </c>
    </row>
    <row r="245" spans="1:18" ht="36.75" customHeight="1">
      <c r="A245" s="274">
        <v>1</v>
      </c>
      <c r="B245" s="277" t="s">
        <v>192</v>
      </c>
      <c r="C245" s="100">
        <v>0.5</v>
      </c>
      <c r="D245" s="276">
        <v>5815</v>
      </c>
      <c r="E245" s="276"/>
      <c r="F245" s="276"/>
      <c r="G245" s="276"/>
      <c r="H245" s="276"/>
      <c r="I245" s="276"/>
      <c r="J245" s="276"/>
      <c r="K245" s="101">
        <f aca="true" t="shared" si="22" ref="K245:K252">SUM(D245:J245)</f>
        <v>5815</v>
      </c>
      <c r="L245" s="276"/>
      <c r="M245" s="276"/>
      <c r="N245" s="276">
        <f>K245*0.1</f>
        <v>581.5</v>
      </c>
      <c r="O245" s="276"/>
      <c r="P245" s="276"/>
      <c r="Q245" s="310">
        <f t="shared" si="21"/>
        <v>3198.25</v>
      </c>
      <c r="R245" s="309">
        <v>10</v>
      </c>
    </row>
    <row r="246" spans="1:18" ht="67.5" customHeight="1">
      <c r="A246" s="278">
        <v>2</v>
      </c>
      <c r="B246" s="277" t="s">
        <v>193</v>
      </c>
      <c r="C246" s="100">
        <v>1</v>
      </c>
      <c r="D246" s="101">
        <v>5527</v>
      </c>
      <c r="E246" s="101"/>
      <c r="F246" s="102"/>
      <c r="G246" s="101"/>
      <c r="H246" s="276">
        <f>D246*0.15</f>
        <v>829.05</v>
      </c>
      <c r="I246" s="101"/>
      <c r="J246" s="101"/>
      <c r="K246" s="101">
        <f t="shared" si="22"/>
        <v>6356.05</v>
      </c>
      <c r="L246" s="101"/>
      <c r="M246" s="101"/>
      <c r="N246" s="276">
        <f>K246*0.3</f>
        <v>1906.815</v>
      </c>
      <c r="O246" s="101"/>
      <c r="P246" s="101"/>
      <c r="Q246" s="310">
        <f t="shared" si="21"/>
        <v>8262.865</v>
      </c>
      <c r="R246" s="117">
        <v>9</v>
      </c>
    </row>
    <row r="247" spans="1:18" ht="38.25">
      <c r="A247" s="278">
        <v>3</v>
      </c>
      <c r="B247" s="277" t="s">
        <v>321</v>
      </c>
      <c r="C247" s="100">
        <v>0.25</v>
      </c>
      <c r="D247" s="101">
        <v>5240</v>
      </c>
      <c r="E247" s="101"/>
      <c r="F247" s="279"/>
      <c r="G247" s="101"/>
      <c r="H247" s="276">
        <f>D247*0.15</f>
        <v>786</v>
      </c>
      <c r="I247" s="101"/>
      <c r="J247" s="101"/>
      <c r="K247" s="101">
        <f t="shared" si="22"/>
        <v>6026</v>
      </c>
      <c r="L247" s="101"/>
      <c r="M247" s="101"/>
      <c r="N247" s="276">
        <f>K247*0.3</f>
        <v>1807.8</v>
      </c>
      <c r="O247" s="101"/>
      <c r="P247" s="101"/>
      <c r="Q247" s="310">
        <f t="shared" si="21"/>
        <v>1958.45</v>
      </c>
      <c r="R247" s="117">
        <v>8</v>
      </c>
    </row>
    <row r="248" spans="1:18" ht="70.5">
      <c r="A248" s="278">
        <v>4</v>
      </c>
      <c r="B248" s="277" t="s">
        <v>194</v>
      </c>
      <c r="C248" s="100">
        <v>1</v>
      </c>
      <c r="D248" s="101">
        <v>4633</v>
      </c>
      <c r="E248" s="101"/>
      <c r="F248" s="279"/>
      <c r="G248" s="101"/>
      <c r="H248" s="276">
        <f>D248*0.15</f>
        <v>694.9499999999999</v>
      </c>
      <c r="I248" s="101"/>
      <c r="J248" s="101"/>
      <c r="K248" s="101">
        <f t="shared" si="22"/>
        <v>5327.95</v>
      </c>
      <c r="L248" s="101"/>
      <c r="M248" s="101"/>
      <c r="N248" s="276">
        <f>K248*0.1</f>
        <v>532.795</v>
      </c>
      <c r="O248" s="101"/>
      <c r="P248" s="101"/>
      <c r="Q248" s="310">
        <f>SUM(K248+N248)*C248</f>
        <v>5860.745</v>
      </c>
      <c r="R248" s="117">
        <v>6</v>
      </c>
    </row>
    <row r="249" spans="1:18" ht="79.5" customHeight="1">
      <c r="A249" s="278">
        <v>5</v>
      </c>
      <c r="B249" s="277" t="s">
        <v>195</v>
      </c>
      <c r="C249" s="280">
        <v>1</v>
      </c>
      <c r="D249" s="281">
        <v>4633</v>
      </c>
      <c r="E249" s="281"/>
      <c r="F249" s="281"/>
      <c r="G249" s="281"/>
      <c r="H249" s="281"/>
      <c r="I249" s="281"/>
      <c r="J249" s="281"/>
      <c r="K249" s="101">
        <f t="shared" si="22"/>
        <v>4633</v>
      </c>
      <c r="L249" s="281"/>
      <c r="M249" s="281"/>
      <c r="N249" s="276">
        <f>K249*0.3</f>
        <v>1389.8999999999999</v>
      </c>
      <c r="O249" s="281"/>
      <c r="P249" s="281"/>
      <c r="Q249" s="127">
        <f t="shared" si="21"/>
        <v>6022.9</v>
      </c>
      <c r="R249" s="311">
        <v>6</v>
      </c>
    </row>
    <row r="250" spans="1:18" ht="48.75" customHeight="1">
      <c r="A250" s="278">
        <v>6</v>
      </c>
      <c r="B250" s="282" t="s">
        <v>196</v>
      </c>
      <c r="C250" s="280">
        <v>0.75</v>
      </c>
      <c r="D250" s="281">
        <v>4633</v>
      </c>
      <c r="E250" s="281"/>
      <c r="F250" s="281"/>
      <c r="G250" s="281"/>
      <c r="H250" s="281"/>
      <c r="I250" s="281"/>
      <c r="J250" s="281"/>
      <c r="K250" s="101">
        <f t="shared" si="22"/>
        <v>4633</v>
      </c>
      <c r="L250" s="281"/>
      <c r="M250" s="281"/>
      <c r="N250" s="276">
        <f>K250*0.1</f>
        <v>463.3</v>
      </c>
      <c r="O250" s="281"/>
      <c r="P250" s="281"/>
      <c r="Q250" s="127">
        <f t="shared" si="21"/>
        <v>3822.2250000000004</v>
      </c>
      <c r="R250" s="311">
        <v>6</v>
      </c>
    </row>
    <row r="251" spans="1:18" ht="43.5" customHeight="1">
      <c r="A251" s="278">
        <v>7</v>
      </c>
      <c r="B251" s="282" t="s">
        <v>197</v>
      </c>
      <c r="C251" s="280">
        <v>0.25</v>
      </c>
      <c r="D251" s="281">
        <v>5527</v>
      </c>
      <c r="E251" s="281"/>
      <c r="F251" s="281"/>
      <c r="G251" s="281"/>
      <c r="H251" s="281"/>
      <c r="I251" s="281"/>
      <c r="J251" s="281"/>
      <c r="K251" s="101">
        <f t="shared" si="22"/>
        <v>5527</v>
      </c>
      <c r="L251" s="281"/>
      <c r="M251" s="281"/>
      <c r="N251" s="276">
        <f>K251*0.3</f>
        <v>1658.1</v>
      </c>
      <c r="O251" s="281"/>
      <c r="P251" s="281"/>
      <c r="Q251" s="127">
        <f t="shared" si="21"/>
        <v>1796.275</v>
      </c>
      <c r="R251" s="311">
        <v>9</v>
      </c>
    </row>
    <row r="252" spans="1:18" ht="72" customHeight="1">
      <c r="A252" s="278">
        <v>8</v>
      </c>
      <c r="B252" s="283" t="s">
        <v>198</v>
      </c>
      <c r="C252" s="250">
        <v>0.5</v>
      </c>
      <c r="D252" s="248">
        <v>3770</v>
      </c>
      <c r="E252" s="248"/>
      <c r="F252" s="248"/>
      <c r="G252" s="248"/>
      <c r="H252" s="248">
        <f>D252*0.15</f>
        <v>565.5</v>
      </c>
      <c r="I252" s="248"/>
      <c r="J252" s="248"/>
      <c r="K252" s="101">
        <f t="shared" si="22"/>
        <v>4335.5</v>
      </c>
      <c r="L252" s="248"/>
      <c r="M252" s="248"/>
      <c r="N252" s="248"/>
      <c r="O252" s="248"/>
      <c r="P252" s="248">
        <f>D252*10%</f>
        <v>377</v>
      </c>
      <c r="Q252" s="127">
        <f t="shared" si="21"/>
        <v>2356.25</v>
      </c>
      <c r="R252" s="301">
        <v>3</v>
      </c>
    </row>
    <row r="253" spans="1:18" ht="34.5" customHeight="1">
      <c r="A253" s="471" t="s">
        <v>32</v>
      </c>
      <c r="B253" s="472"/>
      <c r="C253" s="284">
        <f>SUM(C244:C252)</f>
        <v>5.25</v>
      </c>
      <c r="D253" s="285"/>
      <c r="E253" s="285"/>
      <c r="F253" s="285"/>
      <c r="G253" s="285"/>
      <c r="H253" s="285"/>
      <c r="I253" s="285"/>
      <c r="J253" s="285"/>
      <c r="K253" s="285"/>
      <c r="L253" s="285"/>
      <c r="M253" s="285"/>
      <c r="N253" s="285"/>
      <c r="O253" s="285"/>
      <c r="P253" s="285"/>
      <c r="Q253" s="312">
        <f>SUM(Q244:Q252)</f>
        <v>33277.96</v>
      </c>
      <c r="R253" s="313"/>
    </row>
    <row r="254" spans="1:18" ht="41.25" customHeight="1">
      <c r="A254" s="286"/>
      <c r="B254" s="287" t="s">
        <v>184</v>
      </c>
      <c r="C254" s="107">
        <f>C245</f>
        <v>0.5</v>
      </c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314">
        <f>Q245</f>
        <v>3198.25</v>
      </c>
      <c r="R254" s="109"/>
    </row>
    <row r="255" spans="1:18" ht="48.75" customHeight="1">
      <c r="A255" s="109"/>
      <c r="B255" s="288" t="s">
        <v>199</v>
      </c>
      <c r="C255" s="107">
        <f>SUM(C246+C249+C250+C247+C251)+C248</f>
        <v>4.25</v>
      </c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314">
        <f>SUM(Q246+Q249+Q250+Q247+Q251)+Q248</f>
        <v>27723.46</v>
      </c>
      <c r="R255" s="109"/>
    </row>
    <row r="256" spans="1:18" ht="33" customHeight="1">
      <c r="A256" s="109"/>
      <c r="B256" s="288" t="s">
        <v>107</v>
      </c>
      <c r="C256" s="107">
        <f>C252</f>
        <v>0.5</v>
      </c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315">
        <f>Q252</f>
        <v>2356.25</v>
      </c>
      <c r="R256" s="109"/>
    </row>
    <row r="257" spans="1:18" ht="138.75" customHeight="1">
      <c r="A257" s="473" t="s">
        <v>200</v>
      </c>
      <c r="B257" s="473"/>
      <c r="C257" s="473"/>
      <c r="D257" s="473"/>
      <c r="E257" s="473"/>
      <c r="F257" s="473"/>
      <c r="G257" s="473"/>
      <c r="H257" s="473"/>
      <c r="I257" s="473"/>
      <c r="J257" s="473"/>
      <c r="K257" s="473"/>
      <c r="L257" s="473"/>
      <c r="M257" s="473"/>
      <c r="N257" s="473"/>
      <c r="O257" s="473"/>
      <c r="P257" s="473"/>
      <c r="Q257" s="473"/>
      <c r="R257" s="473"/>
    </row>
    <row r="258" spans="1:18" ht="37.5">
      <c r="A258" s="72">
        <v>1</v>
      </c>
      <c r="B258" s="73">
        <v>2</v>
      </c>
      <c r="C258" s="74">
        <v>3</v>
      </c>
      <c r="D258" s="73">
        <v>4</v>
      </c>
      <c r="E258" s="73">
        <v>5</v>
      </c>
      <c r="F258" s="73">
        <v>6</v>
      </c>
      <c r="G258" s="73">
        <v>7</v>
      </c>
      <c r="H258" s="73">
        <v>8</v>
      </c>
      <c r="I258" s="73">
        <v>9</v>
      </c>
      <c r="J258" s="73">
        <v>10</v>
      </c>
      <c r="K258" s="73">
        <v>11</v>
      </c>
      <c r="L258" s="73">
        <v>12</v>
      </c>
      <c r="M258" s="73">
        <v>13</v>
      </c>
      <c r="N258" s="73">
        <v>14</v>
      </c>
      <c r="O258" s="73">
        <v>15</v>
      </c>
      <c r="P258" s="73">
        <v>16</v>
      </c>
      <c r="Q258" s="73">
        <v>17</v>
      </c>
      <c r="R258" s="73">
        <v>18</v>
      </c>
    </row>
    <row r="259" spans="1:18" ht="76.5">
      <c r="A259" s="182">
        <v>1</v>
      </c>
      <c r="B259" s="76" t="s">
        <v>201</v>
      </c>
      <c r="C259" s="77">
        <v>0.5</v>
      </c>
      <c r="D259" s="79">
        <v>5815</v>
      </c>
      <c r="E259" s="79">
        <f>D259*0.1</f>
        <v>581.5</v>
      </c>
      <c r="F259" s="79"/>
      <c r="G259" s="79"/>
      <c r="H259" s="79"/>
      <c r="I259" s="79"/>
      <c r="J259" s="79"/>
      <c r="K259" s="79">
        <f>SUM(D259:J259)</f>
        <v>6396.5</v>
      </c>
      <c r="L259" s="79"/>
      <c r="M259" s="79"/>
      <c r="N259" s="79">
        <f>K259*0.3</f>
        <v>1918.9499999999998</v>
      </c>
      <c r="O259" s="79"/>
      <c r="P259" s="79"/>
      <c r="Q259" s="80">
        <f>SUM(K259:P259)*C259</f>
        <v>4157.725</v>
      </c>
      <c r="R259" s="105">
        <v>10</v>
      </c>
    </row>
    <row r="260" spans="1:18" ht="111" customHeight="1">
      <c r="A260" s="182">
        <v>2</v>
      </c>
      <c r="B260" s="76" t="s">
        <v>202</v>
      </c>
      <c r="C260" s="77">
        <v>3.25</v>
      </c>
      <c r="D260" s="79">
        <v>5815</v>
      </c>
      <c r="E260" s="79"/>
      <c r="F260" s="79"/>
      <c r="G260" s="79"/>
      <c r="H260" s="79"/>
      <c r="I260" s="79"/>
      <c r="J260" s="79"/>
      <c r="K260" s="79">
        <f>SUM(D260:J260)</f>
        <v>5815</v>
      </c>
      <c r="L260" s="79"/>
      <c r="M260" s="79"/>
      <c r="N260" s="79">
        <f>K260*0.3</f>
        <v>1744.5</v>
      </c>
      <c r="O260" s="79"/>
      <c r="P260" s="79"/>
      <c r="Q260" s="80">
        <f>SUM(K260:P260)*C260</f>
        <v>24568.375</v>
      </c>
      <c r="R260" s="105">
        <v>10</v>
      </c>
    </row>
    <row r="261" spans="1:18" ht="99" customHeight="1">
      <c r="A261" s="182">
        <v>3</v>
      </c>
      <c r="B261" s="76" t="s">
        <v>203</v>
      </c>
      <c r="C261" s="77">
        <v>1</v>
      </c>
      <c r="D261" s="79">
        <v>4920</v>
      </c>
      <c r="E261" s="79"/>
      <c r="F261" s="79"/>
      <c r="G261" s="79"/>
      <c r="H261" s="79"/>
      <c r="I261" s="79"/>
      <c r="J261" s="79"/>
      <c r="K261" s="79">
        <f>SUM(D261:J261)</f>
        <v>4920</v>
      </c>
      <c r="L261" s="79"/>
      <c r="M261" s="79"/>
      <c r="N261" s="79">
        <f>K261*0.1</f>
        <v>492</v>
      </c>
      <c r="O261" s="79"/>
      <c r="P261" s="79"/>
      <c r="Q261" s="80">
        <f>SUM(K261:P261)*C261</f>
        <v>5412</v>
      </c>
      <c r="R261" s="105">
        <v>7</v>
      </c>
    </row>
    <row r="262" spans="1:18" ht="100.5" customHeight="1">
      <c r="A262" s="182">
        <v>4</v>
      </c>
      <c r="B262" s="76" t="s">
        <v>204</v>
      </c>
      <c r="C262" s="77">
        <v>1.5</v>
      </c>
      <c r="D262" s="79">
        <v>4058</v>
      </c>
      <c r="E262" s="79"/>
      <c r="F262" s="79"/>
      <c r="G262" s="79"/>
      <c r="H262" s="79"/>
      <c r="I262" s="79"/>
      <c r="J262" s="79"/>
      <c r="K262" s="79">
        <f>SUM(D262:J262)</f>
        <v>4058</v>
      </c>
      <c r="L262" s="79"/>
      <c r="M262" s="79"/>
      <c r="N262" s="79"/>
      <c r="O262" s="79"/>
      <c r="P262" s="79">
        <f>K262*10%</f>
        <v>405.8</v>
      </c>
      <c r="Q262" s="80">
        <f>SUM(K262:P262)*C262</f>
        <v>6695.700000000001</v>
      </c>
      <c r="R262" s="105">
        <v>4</v>
      </c>
    </row>
    <row r="263" spans="1:18" ht="102.75" customHeight="1">
      <c r="A263" s="452" t="s">
        <v>205</v>
      </c>
      <c r="B263" s="453"/>
      <c r="C263" s="284">
        <f>SUM(C259:C262)</f>
        <v>6.25</v>
      </c>
      <c r="D263" s="316"/>
      <c r="E263" s="316"/>
      <c r="F263" s="316"/>
      <c r="G263" s="316"/>
      <c r="H263" s="316"/>
      <c r="I263" s="316"/>
      <c r="J263" s="316"/>
      <c r="K263" s="316"/>
      <c r="L263" s="316"/>
      <c r="M263" s="316"/>
      <c r="N263" s="316"/>
      <c r="O263" s="316"/>
      <c r="P263" s="316"/>
      <c r="Q263" s="335">
        <f>SUM(Q259:Q262)</f>
        <v>40833.8</v>
      </c>
      <c r="R263" s="336"/>
    </row>
    <row r="264" spans="1:18" ht="38.25">
      <c r="A264" s="109"/>
      <c r="B264" s="317"/>
      <c r="C264" s="25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337"/>
      <c r="R264" s="109"/>
    </row>
    <row r="265" spans="1:18" ht="60.75" customHeight="1">
      <c r="A265" s="109"/>
      <c r="B265" s="288" t="s">
        <v>199</v>
      </c>
      <c r="C265" s="69">
        <f>C259+C260+C261</f>
        <v>4.75</v>
      </c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338">
        <f>Q259+Q260+Q261</f>
        <v>34138.1</v>
      </c>
      <c r="R265" s="109"/>
    </row>
    <row r="266" spans="1:18" ht="69" customHeight="1">
      <c r="A266" s="109"/>
      <c r="B266" s="288" t="s">
        <v>107</v>
      </c>
      <c r="C266" s="69">
        <f>C262</f>
        <v>1.5</v>
      </c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338">
        <f>Q262</f>
        <v>6695.700000000001</v>
      </c>
      <c r="R266" s="109"/>
    </row>
    <row r="267" spans="1:18" ht="24" customHeight="1" hidden="1">
      <c r="A267" s="70"/>
      <c r="B267" s="70"/>
      <c r="C267" s="97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</row>
    <row r="268" spans="1:18" ht="68.25" customHeight="1" hidden="1">
      <c r="A268" s="318"/>
      <c r="B268" s="70"/>
      <c r="C268" s="97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</row>
    <row r="269" spans="1:18" ht="80.25" customHeight="1" hidden="1">
      <c r="A269" s="429" t="s">
        <v>206</v>
      </c>
      <c r="B269" s="429"/>
      <c r="C269" s="429"/>
      <c r="D269" s="429"/>
      <c r="E269" s="429"/>
      <c r="F269" s="429"/>
      <c r="G269" s="429"/>
      <c r="H269" s="429"/>
      <c r="I269" s="429"/>
      <c r="J269" s="429"/>
      <c r="K269" s="429"/>
      <c r="L269" s="429"/>
      <c r="M269" s="429"/>
      <c r="N269" s="429"/>
      <c r="O269" s="429"/>
      <c r="P269" s="429"/>
      <c r="Q269" s="429"/>
      <c r="R269" s="429"/>
    </row>
    <row r="270" spans="1:18" ht="79.5" customHeight="1" hidden="1">
      <c r="A270" s="319">
        <v>1</v>
      </c>
      <c r="B270" s="76" t="s">
        <v>207</v>
      </c>
      <c r="C270" s="77">
        <v>0.5</v>
      </c>
      <c r="D270" s="79">
        <v>5005</v>
      </c>
      <c r="E270" s="79">
        <f>D270*0.1</f>
        <v>500.5</v>
      </c>
      <c r="F270" s="79"/>
      <c r="G270" s="79"/>
      <c r="H270" s="79"/>
      <c r="I270" s="79"/>
      <c r="J270" s="79"/>
      <c r="K270" s="79">
        <f>SUM(D270:J270)</f>
        <v>5505.5</v>
      </c>
      <c r="L270" s="79"/>
      <c r="M270" s="79"/>
      <c r="N270" s="79">
        <f>K270*0.3</f>
        <v>1651.6499999999999</v>
      </c>
      <c r="O270" s="79"/>
      <c r="P270" s="104"/>
      <c r="Q270" s="80">
        <f>SUM(K270:P270)*C270</f>
        <v>3578.575</v>
      </c>
      <c r="R270" s="105">
        <v>9</v>
      </c>
    </row>
    <row r="271" spans="1:18" ht="76.5" customHeight="1" hidden="1">
      <c r="A271" s="319">
        <v>2</v>
      </c>
      <c r="B271" s="76" t="s">
        <v>208</v>
      </c>
      <c r="C271" s="77">
        <v>2.5</v>
      </c>
      <c r="D271" s="79">
        <v>5005</v>
      </c>
      <c r="E271" s="79"/>
      <c r="F271" s="79"/>
      <c r="G271" s="79"/>
      <c r="H271" s="79"/>
      <c r="I271" s="79"/>
      <c r="J271" s="79"/>
      <c r="K271" s="79">
        <f>SUM(D271:J271)</f>
        <v>5005</v>
      </c>
      <c r="L271" s="79"/>
      <c r="M271" s="79"/>
      <c r="N271" s="79">
        <f>K271*0.3</f>
        <v>1501.5</v>
      </c>
      <c r="O271" s="79"/>
      <c r="P271" s="104"/>
      <c r="Q271" s="80">
        <f>SUM(K271:P271)*C271</f>
        <v>16266.25</v>
      </c>
      <c r="R271" s="105">
        <v>9</v>
      </c>
    </row>
    <row r="272" spans="1:18" ht="58.5" customHeight="1" hidden="1">
      <c r="A272" s="319">
        <v>3</v>
      </c>
      <c r="B272" s="76" t="s">
        <v>208</v>
      </c>
      <c r="C272" s="77">
        <v>1</v>
      </c>
      <c r="D272" s="79">
        <v>5005</v>
      </c>
      <c r="E272" s="79"/>
      <c r="F272" s="79"/>
      <c r="G272" s="79"/>
      <c r="H272" s="79"/>
      <c r="I272" s="79"/>
      <c r="J272" s="79"/>
      <c r="K272" s="79">
        <f>SUM(D272:J272)</f>
        <v>5005</v>
      </c>
      <c r="L272" s="79"/>
      <c r="M272" s="79"/>
      <c r="N272" s="79">
        <f>K272*0.2</f>
        <v>1001</v>
      </c>
      <c r="O272" s="79"/>
      <c r="P272" s="104"/>
      <c r="Q272" s="80">
        <f>SUM(K272:P272)*C272</f>
        <v>6006</v>
      </c>
      <c r="R272" s="105">
        <v>9</v>
      </c>
    </row>
    <row r="273" spans="1:18" ht="59.25" customHeight="1" hidden="1">
      <c r="A273" s="319">
        <v>4</v>
      </c>
      <c r="B273" s="76" t="s">
        <v>209</v>
      </c>
      <c r="C273" s="77">
        <v>1</v>
      </c>
      <c r="D273" s="79">
        <v>4745</v>
      </c>
      <c r="E273" s="79"/>
      <c r="F273" s="79"/>
      <c r="G273" s="79"/>
      <c r="H273" s="79"/>
      <c r="I273" s="79"/>
      <c r="J273" s="79"/>
      <c r="K273" s="79">
        <f>SUM(D273:J273)</f>
        <v>4745</v>
      </c>
      <c r="L273" s="79"/>
      <c r="M273" s="79"/>
      <c r="N273" s="79">
        <f>K273*0.2</f>
        <v>949</v>
      </c>
      <c r="O273" s="79"/>
      <c r="P273" s="104"/>
      <c r="Q273" s="80">
        <f>SUM(K273:P273)*C273</f>
        <v>5694</v>
      </c>
      <c r="R273" s="105">
        <v>8</v>
      </c>
    </row>
    <row r="274" spans="1:18" ht="79.5" customHeight="1" hidden="1">
      <c r="A274" s="319">
        <v>5</v>
      </c>
      <c r="B274" s="76" t="s">
        <v>210</v>
      </c>
      <c r="C274" s="77">
        <v>4.5</v>
      </c>
      <c r="D274" s="79">
        <v>3414</v>
      </c>
      <c r="E274" s="79"/>
      <c r="F274" s="79"/>
      <c r="G274" s="79"/>
      <c r="H274" s="79"/>
      <c r="I274" s="79"/>
      <c r="J274" s="79"/>
      <c r="K274" s="79">
        <f>SUM(D274:J274)</f>
        <v>3414</v>
      </c>
      <c r="L274" s="79"/>
      <c r="M274" s="79"/>
      <c r="N274" s="79"/>
      <c r="O274" s="79"/>
      <c r="P274" s="104">
        <f>K274*10%</f>
        <v>341.40000000000003</v>
      </c>
      <c r="Q274" s="80">
        <f>SUM(K274:P274)*C274</f>
        <v>16899.3</v>
      </c>
      <c r="R274" s="105">
        <v>3</v>
      </c>
    </row>
    <row r="275" spans="1:18" ht="70.5" customHeight="1" hidden="1">
      <c r="A275" s="430" t="s">
        <v>32</v>
      </c>
      <c r="B275" s="432"/>
      <c r="C275" s="103">
        <f>SUM(C270:C274)</f>
        <v>9.5</v>
      </c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104"/>
      <c r="Q275" s="129">
        <f>SUM(Q270:Q274)</f>
        <v>48444.125</v>
      </c>
      <c r="R275" s="105"/>
    </row>
    <row r="276" spans="1:18" ht="2.25" customHeight="1" hidden="1">
      <c r="A276" s="464"/>
      <c r="B276" s="464"/>
      <c r="C276" s="205"/>
      <c r="D276" s="320"/>
      <c r="E276" s="320"/>
      <c r="F276" s="320"/>
      <c r="G276" s="320"/>
      <c r="H276" s="320"/>
      <c r="I276" s="320"/>
      <c r="J276" s="320"/>
      <c r="K276" s="320"/>
      <c r="L276" s="320"/>
      <c r="M276" s="320"/>
      <c r="N276" s="320"/>
      <c r="O276" s="320"/>
      <c r="P276" s="320"/>
      <c r="Q276" s="339"/>
      <c r="R276" s="70"/>
    </row>
    <row r="277" spans="1:18" ht="53.25" customHeight="1" hidden="1">
      <c r="A277" s="465" t="s">
        <v>199</v>
      </c>
      <c r="B277" s="466"/>
      <c r="C277" s="321"/>
      <c r="D277" s="320"/>
      <c r="E277" s="320"/>
      <c r="F277" s="320"/>
      <c r="G277" s="320"/>
      <c r="H277" s="320"/>
      <c r="I277" s="320"/>
      <c r="J277" s="320"/>
      <c r="K277" s="320"/>
      <c r="L277" s="320"/>
      <c r="M277" s="320"/>
      <c r="N277" s="320"/>
      <c r="O277" s="320"/>
      <c r="P277" s="320"/>
      <c r="Q277" s="340"/>
      <c r="R277" s="70"/>
    </row>
    <row r="278" spans="1:18" ht="58.5" customHeight="1" hidden="1">
      <c r="A278" s="465" t="s">
        <v>107</v>
      </c>
      <c r="B278" s="465"/>
      <c r="C278" s="321"/>
      <c r="D278" s="320"/>
      <c r="E278" s="320"/>
      <c r="F278" s="320"/>
      <c r="G278" s="320"/>
      <c r="H278" s="320"/>
      <c r="I278" s="320"/>
      <c r="J278" s="320"/>
      <c r="K278" s="320"/>
      <c r="L278" s="320"/>
      <c r="M278" s="320"/>
      <c r="N278" s="320"/>
      <c r="O278" s="320"/>
      <c r="P278" s="320"/>
      <c r="Q278" s="341"/>
      <c r="R278" s="70"/>
    </row>
    <row r="279" spans="1:18" ht="183" customHeight="1">
      <c r="A279" s="263"/>
      <c r="B279" s="70"/>
      <c r="C279" s="97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</row>
    <row r="280" spans="1:18" ht="42.75" customHeight="1">
      <c r="A280" s="454" t="s">
        <v>211</v>
      </c>
      <c r="B280" s="454"/>
      <c r="C280" s="454"/>
      <c r="D280" s="454"/>
      <c r="E280" s="454"/>
      <c r="F280" s="454"/>
      <c r="G280" s="454"/>
      <c r="H280" s="454"/>
      <c r="I280" s="454"/>
      <c r="J280" s="454"/>
      <c r="K280" s="454"/>
      <c r="L280" s="454"/>
      <c r="M280" s="454"/>
      <c r="N280" s="454"/>
      <c r="O280" s="454"/>
      <c r="P280" s="454"/>
      <c r="Q280" s="454"/>
      <c r="R280" s="454"/>
    </row>
    <row r="281" spans="1:18" ht="37.5">
      <c r="A281" s="72">
        <v>1</v>
      </c>
      <c r="B281" s="73">
        <v>2</v>
      </c>
      <c r="C281" s="74">
        <v>3</v>
      </c>
      <c r="D281" s="73">
        <v>4</v>
      </c>
      <c r="E281" s="73">
        <v>5</v>
      </c>
      <c r="F281" s="73">
        <v>6</v>
      </c>
      <c r="G281" s="73">
        <v>7</v>
      </c>
      <c r="H281" s="73">
        <v>8</v>
      </c>
      <c r="I281" s="73">
        <v>9</v>
      </c>
      <c r="J281" s="73">
        <v>10</v>
      </c>
      <c r="K281" s="73">
        <v>11</v>
      </c>
      <c r="L281" s="73">
        <v>12</v>
      </c>
      <c r="M281" s="73">
        <v>13</v>
      </c>
      <c r="N281" s="73">
        <v>14</v>
      </c>
      <c r="O281" s="73">
        <v>15</v>
      </c>
      <c r="P281" s="73">
        <v>16</v>
      </c>
      <c r="Q281" s="73">
        <v>17</v>
      </c>
      <c r="R281" s="73">
        <v>18</v>
      </c>
    </row>
    <row r="282" spans="1:18" ht="114.75">
      <c r="A282" s="182">
        <v>1</v>
      </c>
      <c r="B282" s="76" t="s">
        <v>212</v>
      </c>
      <c r="C282" s="77">
        <v>0.5</v>
      </c>
      <c r="D282" s="78">
        <v>7253</v>
      </c>
      <c r="E282" s="79">
        <f>D282*0.2</f>
        <v>1450.6000000000001</v>
      </c>
      <c r="F282" s="79">
        <f>(D282+E282)*0.2</f>
        <v>1740.7200000000003</v>
      </c>
      <c r="G282" s="79"/>
      <c r="H282" s="78">
        <f aca="true" t="shared" si="23" ref="H282:H289">(D282+E282+F282)*0.15</f>
        <v>1566.648</v>
      </c>
      <c r="I282" s="79"/>
      <c r="J282" s="79"/>
      <c r="K282" s="79">
        <f aca="true" t="shared" si="24" ref="K282:K289">SUM(D282:J282)</f>
        <v>12010.967999999999</v>
      </c>
      <c r="L282" s="79"/>
      <c r="M282" s="79"/>
      <c r="N282" s="78">
        <f aca="true" t="shared" si="25" ref="N282:N288">K282*0.3</f>
        <v>3603.2903999999994</v>
      </c>
      <c r="O282" s="79"/>
      <c r="P282" s="104"/>
      <c r="Q282" s="80">
        <f aca="true" t="shared" si="26" ref="Q282:Q289">SUM(K282:P282)*C282</f>
        <v>7807.129199999999</v>
      </c>
      <c r="R282" s="105">
        <v>13</v>
      </c>
    </row>
    <row r="283" spans="1:18" ht="38.25">
      <c r="A283" s="182">
        <v>2</v>
      </c>
      <c r="B283" s="76" t="s">
        <v>213</v>
      </c>
      <c r="C283" s="77">
        <v>4</v>
      </c>
      <c r="D283" s="78">
        <v>7253</v>
      </c>
      <c r="E283" s="79"/>
      <c r="F283" s="79">
        <f>(D283+E283)*0.2</f>
        <v>1450.6000000000001</v>
      </c>
      <c r="G283" s="79"/>
      <c r="H283" s="78">
        <f t="shared" si="23"/>
        <v>1305.54</v>
      </c>
      <c r="I283" s="79"/>
      <c r="J283" s="79"/>
      <c r="K283" s="79">
        <f t="shared" si="24"/>
        <v>10009.14</v>
      </c>
      <c r="L283" s="79"/>
      <c r="M283" s="79"/>
      <c r="N283" s="78">
        <f t="shared" si="25"/>
        <v>3002.7419999999997</v>
      </c>
      <c r="O283" s="79"/>
      <c r="P283" s="104"/>
      <c r="Q283" s="80">
        <f t="shared" si="26"/>
        <v>52047.528</v>
      </c>
      <c r="R283" s="105">
        <v>13</v>
      </c>
    </row>
    <row r="284" spans="1:18" ht="38.25">
      <c r="A284" s="182">
        <v>3</v>
      </c>
      <c r="B284" s="76" t="s">
        <v>214</v>
      </c>
      <c r="C284" s="77">
        <v>0.5</v>
      </c>
      <c r="D284" s="78">
        <v>7253</v>
      </c>
      <c r="E284" s="79"/>
      <c r="F284" s="79">
        <f>(D284+E284)*0.2</f>
        <v>1450.6000000000001</v>
      </c>
      <c r="G284" s="79"/>
      <c r="H284" s="78">
        <f t="shared" si="23"/>
        <v>1305.54</v>
      </c>
      <c r="I284" s="79"/>
      <c r="J284" s="79"/>
      <c r="K284" s="79">
        <f t="shared" si="24"/>
        <v>10009.14</v>
      </c>
      <c r="L284" s="79"/>
      <c r="M284" s="79"/>
      <c r="N284" s="78">
        <f t="shared" si="25"/>
        <v>3002.7419999999997</v>
      </c>
      <c r="O284" s="79"/>
      <c r="P284" s="104"/>
      <c r="Q284" s="80">
        <f t="shared" si="26"/>
        <v>6505.941</v>
      </c>
      <c r="R284" s="105">
        <v>13</v>
      </c>
    </row>
    <row r="285" spans="1:18" ht="76.5">
      <c r="A285" s="182">
        <v>4</v>
      </c>
      <c r="B285" s="76" t="s">
        <v>215</v>
      </c>
      <c r="C285" s="77">
        <v>0.5</v>
      </c>
      <c r="D285" s="78">
        <v>5815</v>
      </c>
      <c r="E285" s="78">
        <f>D285*0.1</f>
        <v>581.5</v>
      </c>
      <c r="F285" s="78"/>
      <c r="G285" s="78"/>
      <c r="H285" s="78">
        <f t="shared" si="23"/>
        <v>959.4749999999999</v>
      </c>
      <c r="I285" s="78"/>
      <c r="J285" s="78"/>
      <c r="K285" s="78">
        <f t="shared" si="24"/>
        <v>7355.975</v>
      </c>
      <c r="L285" s="78"/>
      <c r="M285" s="78"/>
      <c r="N285" s="78">
        <f t="shared" si="25"/>
        <v>2206.7925</v>
      </c>
      <c r="O285" s="78"/>
      <c r="P285" s="77"/>
      <c r="Q285" s="80">
        <f t="shared" si="26"/>
        <v>4781.38375</v>
      </c>
      <c r="R285" s="105">
        <v>10</v>
      </c>
    </row>
    <row r="286" spans="1:18" ht="76.5">
      <c r="A286" s="182">
        <v>5</v>
      </c>
      <c r="B286" s="76" t="s">
        <v>216</v>
      </c>
      <c r="C286" s="77">
        <v>5.5</v>
      </c>
      <c r="D286" s="78">
        <v>5815</v>
      </c>
      <c r="E286" s="78"/>
      <c r="F286" s="78"/>
      <c r="G286" s="78"/>
      <c r="H286" s="78">
        <f t="shared" si="23"/>
        <v>872.25</v>
      </c>
      <c r="I286" s="78"/>
      <c r="J286" s="78"/>
      <c r="K286" s="78">
        <f t="shared" si="24"/>
        <v>6687.25</v>
      </c>
      <c r="L286" s="78"/>
      <c r="M286" s="78"/>
      <c r="N286" s="78">
        <f t="shared" si="25"/>
        <v>2006.175</v>
      </c>
      <c r="O286" s="78"/>
      <c r="P286" s="77"/>
      <c r="Q286" s="59">
        <f t="shared" si="26"/>
        <v>47813.837499999994</v>
      </c>
      <c r="R286" s="342">
        <v>10</v>
      </c>
    </row>
    <row r="287" spans="1:18" ht="76.5">
      <c r="A287" s="182">
        <v>6</v>
      </c>
      <c r="B287" s="76" t="s">
        <v>217</v>
      </c>
      <c r="C287" s="77">
        <v>5</v>
      </c>
      <c r="D287" s="78">
        <v>5815</v>
      </c>
      <c r="E287" s="78"/>
      <c r="F287" s="78"/>
      <c r="G287" s="78"/>
      <c r="H287" s="78">
        <f t="shared" si="23"/>
        <v>872.25</v>
      </c>
      <c r="I287" s="78"/>
      <c r="J287" s="78"/>
      <c r="K287" s="78">
        <f t="shared" si="24"/>
        <v>6687.25</v>
      </c>
      <c r="L287" s="78"/>
      <c r="M287" s="78"/>
      <c r="N287" s="78">
        <f t="shared" si="25"/>
        <v>2006.175</v>
      </c>
      <c r="O287" s="78"/>
      <c r="P287" s="77"/>
      <c r="Q287" s="59">
        <f t="shared" si="26"/>
        <v>43467.125</v>
      </c>
      <c r="R287" s="105">
        <v>10</v>
      </c>
    </row>
    <row r="288" spans="1:18" ht="114.75">
      <c r="A288" s="182">
        <v>7</v>
      </c>
      <c r="B288" s="76" t="s">
        <v>218</v>
      </c>
      <c r="C288" s="77">
        <v>5</v>
      </c>
      <c r="D288" s="78">
        <v>5815</v>
      </c>
      <c r="E288" s="78"/>
      <c r="F288" s="78"/>
      <c r="G288" s="78"/>
      <c r="H288" s="78">
        <f t="shared" si="23"/>
        <v>872.25</v>
      </c>
      <c r="I288" s="78"/>
      <c r="J288" s="78"/>
      <c r="K288" s="78">
        <f t="shared" si="24"/>
        <v>6687.25</v>
      </c>
      <c r="L288" s="78"/>
      <c r="M288" s="78"/>
      <c r="N288" s="78">
        <f t="shared" si="25"/>
        <v>2006.175</v>
      </c>
      <c r="O288" s="78"/>
      <c r="P288" s="333"/>
      <c r="Q288" s="59">
        <f t="shared" si="26"/>
        <v>43467.125</v>
      </c>
      <c r="R288" s="105">
        <v>10</v>
      </c>
    </row>
    <row r="289" spans="1:18" ht="68.25" customHeight="1">
      <c r="A289" s="182">
        <v>8</v>
      </c>
      <c r="B289" s="76" t="s">
        <v>219</v>
      </c>
      <c r="C289" s="77">
        <v>5</v>
      </c>
      <c r="D289" s="78">
        <v>4058</v>
      </c>
      <c r="E289" s="78"/>
      <c r="F289" s="78"/>
      <c r="G289" s="78"/>
      <c r="H289" s="78">
        <f t="shared" si="23"/>
        <v>608.6999999999999</v>
      </c>
      <c r="I289" s="78"/>
      <c r="J289" s="78"/>
      <c r="K289" s="78">
        <f t="shared" si="24"/>
        <v>4666.7</v>
      </c>
      <c r="L289" s="78"/>
      <c r="M289" s="78"/>
      <c r="N289" s="78"/>
      <c r="O289" s="78"/>
      <c r="P289" s="333">
        <f>D289*10%</f>
        <v>405.8</v>
      </c>
      <c r="Q289" s="80">
        <f t="shared" si="26"/>
        <v>25362.5</v>
      </c>
      <c r="R289" s="105">
        <v>4</v>
      </c>
    </row>
    <row r="290" spans="1:18" ht="45" customHeight="1">
      <c r="A290" s="460" t="s">
        <v>32</v>
      </c>
      <c r="B290" s="461"/>
      <c r="C290" s="284">
        <f>SUM(C282:C289)</f>
        <v>26</v>
      </c>
      <c r="D290" s="316"/>
      <c r="E290" s="316"/>
      <c r="F290" s="316"/>
      <c r="G290" s="316"/>
      <c r="H290" s="316"/>
      <c r="I290" s="316"/>
      <c r="J290" s="316"/>
      <c r="K290" s="316"/>
      <c r="L290" s="316"/>
      <c r="M290" s="316"/>
      <c r="N290" s="316"/>
      <c r="O290" s="316"/>
      <c r="P290" s="334"/>
      <c r="Q290" s="343">
        <f>SUM(Q282:Q289)</f>
        <v>231252.56945</v>
      </c>
      <c r="R290" s="336"/>
    </row>
    <row r="291" spans="1:18" ht="0.75" customHeight="1">
      <c r="A291" s="109"/>
      <c r="B291" s="317"/>
      <c r="C291" s="258"/>
      <c r="D291" s="322"/>
      <c r="E291" s="322"/>
      <c r="F291" s="322"/>
      <c r="G291" s="322"/>
      <c r="H291" s="323"/>
      <c r="I291" s="322"/>
      <c r="J291" s="322"/>
      <c r="K291" s="322"/>
      <c r="L291" s="322"/>
      <c r="M291" s="322"/>
      <c r="N291" s="322"/>
      <c r="O291" s="322"/>
      <c r="P291" s="322"/>
      <c r="Q291" s="344"/>
      <c r="R291" s="109"/>
    </row>
    <row r="292" spans="1:29" s="44" customFormat="1" ht="30.75" customHeight="1">
      <c r="A292" s="109"/>
      <c r="B292" s="243" t="s">
        <v>184</v>
      </c>
      <c r="C292" s="107">
        <f>C282+C283+C284</f>
        <v>5</v>
      </c>
      <c r="D292" s="322"/>
      <c r="E292" s="322"/>
      <c r="F292" s="322"/>
      <c r="G292" s="322"/>
      <c r="H292" s="323"/>
      <c r="I292" s="322"/>
      <c r="J292" s="322"/>
      <c r="K292" s="322"/>
      <c r="L292" s="322"/>
      <c r="M292" s="322"/>
      <c r="N292" s="322"/>
      <c r="O292" s="322"/>
      <c r="P292" s="322"/>
      <c r="Q292" s="345">
        <f>SUM(Q282:Q284)</f>
        <v>66360.59820000001</v>
      </c>
      <c r="R292" s="109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s="44" customFormat="1" ht="47.25" customHeight="1">
      <c r="A293" s="109"/>
      <c r="B293" s="243" t="s">
        <v>199</v>
      </c>
      <c r="C293" s="107">
        <f>SUM(C285:C288)</f>
        <v>16</v>
      </c>
      <c r="D293" s="322"/>
      <c r="E293" s="322"/>
      <c r="F293" s="322"/>
      <c r="G293" s="322"/>
      <c r="H293" s="323"/>
      <c r="I293" s="322"/>
      <c r="J293" s="322"/>
      <c r="K293" s="322"/>
      <c r="L293" s="322"/>
      <c r="M293" s="322"/>
      <c r="N293" s="322"/>
      <c r="O293" s="322"/>
      <c r="P293" s="322"/>
      <c r="Q293" s="345">
        <f>SUM(Q285:Q288)</f>
        <v>139529.47125</v>
      </c>
      <c r="R293" s="109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s="44" customFormat="1" ht="39" customHeight="1">
      <c r="A294" s="109"/>
      <c r="B294" s="243" t="s">
        <v>107</v>
      </c>
      <c r="C294" s="107">
        <f>C289</f>
        <v>5</v>
      </c>
      <c r="D294" s="322"/>
      <c r="E294" s="322"/>
      <c r="F294" s="322"/>
      <c r="G294" s="322"/>
      <c r="H294" s="323"/>
      <c r="I294" s="322"/>
      <c r="J294" s="322"/>
      <c r="K294" s="322"/>
      <c r="L294" s="322"/>
      <c r="M294" s="322"/>
      <c r="N294" s="322"/>
      <c r="O294" s="322"/>
      <c r="P294" s="322"/>
      <c r="Q294" s="346">
        <f>Q289</f>
        <v>25362.5</v>
      </c>
      <c r="R294" s="109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18" ht="39" customHeight="1">
      <c r="A295" s="324" t="s">
        <v>220</v>
      </c>
      <c r="B295" s="325"/>
      <c r="C295" s="326"/>
      <c r="D295" s="325"/>
      <c r="E295" s="325"/>
      <c r="F295" s="325"/>
      <c r="G295" s="325"/>
      <c r="H295" s="325"/>
      <c r="I295" s="325"/>
      <c r="J295" s="325"/>
      <c r="K295" s="325"/>
      <c r="L295" s="325"/>
      <c r="M295" s="325"/>
      <c r="N295" s="325"/>
      <c r="O295" s="325"/>
      <c r="P295" s="325"/>
      <c r="Q295" s="325"/>
      <c r="R295" s="325"/>
    </row>
    <row r="296" spans="1:18" ht="16.5" customHeight="1" hidden="1">
      <c r="A296" s="429"/>
      <c r="B296" s="429"/>
      <c r="C296" s="429"/>
      <c r="D296" s="429"/>
      <c r="E296" s="429"/>
      <c r="F296" s="429"/>
      <c r="G296" s="429"/>
      <c r="H296" s="429"/>
      <c r="I296" s="429"/>
      <c r="J296" s="429"/>
      <c r="K296" s="429"/>
      <c r="L296" s="429"/>
      <c r="M296" s="429"/>
      <c r="N296" s="429"/>
      <c r="O296" s="429"/>
      <c r="P296" s="429"/>
      <c r="Q296" s="429"/>
      <c r="R296" s="429"/>
    </row>
    <row r="297" spans="1:18" ht="37.5">
      <c r="A297" s="72">
        <v>1</v>
      </c>
      <c r="B297" s="73">
        <v>2</v>
      </c>
      <c r="C297" s="74">
        <v>3</v>
      </c>
      <c r="D297" s="73">
        <v>4</v>
      </c>
      <c r="E297" s="73">
        <v>5</v>
      </c>
      <c r="F297" s="73">
        <v>6</v>
      </c>
      <c r="G297" s="73">
        <v>7</v>
      </c>
      <c r="H297" s="73">
        <v>8</v>
      </c>
      <c r="I297" s="73">
        <v>9</v>
      </c>
      <c r="J297" s="73">
        <v>10</v>
      </c>
      <c r="K297" s="73">
        <v>11</v>
      </c>
      <c r="L297" s="73">
        <v>12</v>
      </c>
      <c r="M297" s="73">
        <v>13</v>
      </c>
      <c r="N297" s="73">
        <v>14</v>
      </c>
      <c r="O297" s="73">
        <v>15</v>
      </c>
      <c r="P297" s="73">
        <v>16</v>
      </c>
      <c r="Q297" s="73">
        <v>17</v>
      </c>
      <c r="R297" s="73">
        <v>18</v>
      </c>
    </row>
    <row r="298" spans="1:18" ht="83.25" customHeight="1">
      <c r="A298" s="182">
        <v>1</v>
      </c>
      <c r="B298" s="328" t="s">
        <v>221</v>
      </c>
      <c r="C298" s="77">
        <v>1</v>
      </c>
      <c r="D298" s="78">
        <v>7253</v>
      </c>
      <c r="E298" s="78">
        <f>D298*0.1</f>
        <v>725.3000000000001</v>
      </c>
      <c r="F298" s="78"/>
      <c r="G298" s="78"/>
      <c r="H298" s="78"/>
      <c r="I298" s="78"/>
      <c r="J298" s="78"/>
      <c r="K298" s="78">
        <f aca="true" t="shared" si="27" ref="K298:K311">SUM(D298:J298)</f>
        <v>7978.3</v>
      </c>
      <c r="L298" s="78"/>
      <c r="M298" s="78"/>
      <c r="N298" s="78">
        <f aca="true" t="shared" si="28" ref="N298:N305">K298*0.3</f>
        <v>2393.49</v>
      </c>
      <c r="O298" s="78"/>
      <c r="P298" s="77"/>
      <c r="Q298" s="59">
        <f aca="true" t="shared" si="29" ref="Q298:Q311">SUM(K298:P298)*C298</f>
        <v>10371.79</v>
      </c>
      <c r="R298" s="105">
        <v>13</v>
      </c>
    </row>
    <row r="299" spans="1:18" ht="33.75" customHeight="1">
      <c r="A299" s="182">
        <v>2</v>
      </c>
      <c r="B299" s="328" t="s">
        <v>222</v>
      </c>
      <c r="C299" s="77">
        <v>1.5</v>
      </c>
      <c r="D299" s="141">
        <v>7253</v>
      </c>
      <c r="E299" s="141"/>
      <c r="F299" s="141"/>
      <c r="G299" s="141"/>
      <c r="H299" s="141"/>
      <c r="I299" s="141"/>
      <c r="J299" s="141"/>
      <c r="K299" s="79">
        <f t="shared" si="27"/>
        <v>7253</v>
      </c>
      <c r="L299" s="141"/>
      <c r="M299" s="141"/>
      <c r="N299" s="78">
        <f t="shared" si="28"/>
        <v>2175.9</v>
      </c>
      <c r="O299" s="79"/>
      <c r="P299" s="104"/>
      <c r="Q299" s="80">
        <f t="shared" si="29"/>
        <v>14143.349999999999</v>
      </c>
      <c r="R299" s="105">
        <v>13</v>
      </c>
    </row>
    <row r="300" spans="1:18" ht="33.75" customHeight="1">
      <c r="A300" s="182">
        <v>3</v>
      </c>
      <c r="B300" s="328" t="s">
        <v>223</v>
      </c>
      <c r="C300" s="77">
        <v>1</v>
      </c>
      <c r="D300" s="141">
        <v>7253</v>
      </c>
      <c r="E300" s="141"/>
      <c r="F300" s="141"/>
      <c r="G300" s="141"/>
      <c r="H300" s="141"/>
      <c r="I300" s="141"/>
      <c r="J300" s="141"/>
      <c r="K300" s="79">
        <f t="shared" si="27"/>
        <v>7253</v>
      </c>
      <c r="L300" s="141"/>
      <c r="M300" s="141"/>
      <c r="N300" s="78">
        <f t="shared" si="28"/>
        <v>2175.9</v>
      </c>
      <c r="O300" s="79"/>
      <c r="P300" s="104"/>
      <c r="Q300" s="80">
        <f t="shared" si="29"/>
        <v>9428.9</v>
      </c>
      <c r="R300" s="105">
        <v>13</v>
      </c>
    </row>
    <row r="301" spans="1:18" ht="33.75" customHeight="1">
      <c r="A301" s="182">
        <v>4</v>
      </c>
      <c r="B301" s="328" t="s">
        <v>224</v>
      </c>
      <c r="C301" s="77">
        <v>1</v>
      </c>
      <c r="D301" s="141">
        <v>6294</v>
      </c>
      <c r="E301" s="141"/>
      <c r="F301" s="141"/>
      <c r="G301" s="141"/>
      <c r="H301" s="141"/>
      <c r="I301" s="141"/>
      <c r="J301" s="141"/>
      <c r="K301" s="79">
        <f t="shared" si="27"/>
        <v>6294</v>
      </c>
      <c r="L301" s="141"/>
      <c r="M301" s="141"/>
      <c r="N301" s="78">
        <f t="shared" si="28"/>
        <v>1888.1999999999998</v>
      </c>
      <c r="O301" s="79"/>
      <c r="P301" s="104"/>
      <c r="Q301" s="80">
        <f t="shared" si="29"/>
        <v>8182.2</v>
      </c>
      <c r="R301" s="105">
        <v>11</v>
      </c>
    </row>
    <row r="302" spans="1:18" ht="33.75" customHeight="1">
      <c r="A302" s="182">
        <v>5</v>
      </c>
      <c r="B302" s="328" t="s">
        <v>225</v>
      </c>
      <c r="C302" s="77">
        <v>1</v>
      </c>
      <c r="D302" s="141">
        <v>6294</v>
      </c>
      <c r="E302" s="141"/>
      <c r="F302" s="141"/>
      <c r="G302" s="141"/>
      <c r="H302" s="141"/>
      <c r="I302" s="141"/>
      <c r="J302" s="141"/>
      <c r="K302" s="79">
        <f t="shared" si="27"/>
        <v>6294</v>
      </c>
      <c r="L302" s="141"/>
      <c r="M302" s="141"/>
      <c r="N302" s="78">
        <f t="shared" si="28"/>
        <v>1888.1999999999998</v>
      </c>
      <c r="O302" s="79"/>
      <c r="P302" s="104"/>
      <c r="Q302" s="80">
        <f t="shared" si="29"/>
        <v>8182.2</v>
      </c>
      <c r="R302" s="105">
        <v>11</v>
      </c>
    </row>
    <row r="303" spans="1:18" ht="33.75" customHeight="1">
      <c r="A303" s="182">
        <v>6</v>
      </c>
      <c r="B303" s="367" t="s">
        <v>322</v>
      </c>
      <c r="C303" s="77">
        <v>0.5</v>
      </c>
      <c r="D303" s="411">
        <v>5815</v>
      </c>
      <c r="E303" s="141"/>
      <c r="F303" s="141"/>
      <c r="G303" s="141"/>
      <c r="H303" s="141"/>
      <c r="I303" s="141"/>
      <c r="J303" s="141"/>
      <c r="K303" s="79">
        <f t="shared" si="27"/>
        <v>5815</v>
      </c>
      <c r="L303" s="141"/>
      <c r="M303" s="141"/>
      <c r="N303" s="78">
        <f t="shared" si="28"/>
        <v>1744.5</v>
      </c>
      <c r="O303" s="79"/>
      <c r="P303" s="104"/>
      <c r="Q303" s="80">
        <f t="shared" si="29"/>
        <v>3779.75</v>
      </c>
      <c r="R303" s="105">
        <v>10</v>
      </c>
    </row>
    <row r="304" spans="1:18" ht="33.75" customHeight="1">
      <c r="A304" s="182">
        <v>7</v>
      </c>
      <c r="B304" s="367" t="s">
        <v>323</v>
      </c>
      <c r="C304" s="77">
        <v>0.25</v>
      </c>
      <c r="D304" s="411">
        <v>5527</v>
      </c>
      <c r="E304" s="141"/>
      <c r="F304" s="141"/>
      <c r="G304" s="141"/>
      <c r="H304" s="141"/>
      <c r="I304" s="141"/>
      <c r="J304" s="141"/>
      <c r="K304" s="79">
        <f t="shared" si="27"/>
        <v>5527</v>
      </c>
      <c r="L304" s="141"/>
      <c r="M304" s="141"/>
      <c r="N304" s="78">
        <f t="shared" si="28"/>
        <v>1658.1</v>
      </c>
      <c r="O304" s="79"/>
      <c r="P304" s="104"/>
      <c r="Q304" s="80">
        <f t="shared" si="29"/>
        <v>1796.275</v>
      </c>
      <c r="R304" s="105">
        <v>9</v>
      </c>
    </row>
    <row r="305" spans="1:18" s="41" customFormat="1" ht="62.25" customHeight="1">
      <c r="A305" s="182">
        <v>8</v>
      </c>
      <c r="B305" s="328" t="s">
        <v>226</v>
      </c>
      <c r="C305" s="77">
        <v>2</v>
      </c>
      <c r="D305" s="411">
        <v>5527</v>
      </c>
      <c r="E305" s="141">
        <f>D305*0.1</f>
        <v>552.7</v>
      </c>
      <c r="F305" s="141"/>
      <c r="G305" s="141"/>
      <c r="H305" s="141"/>
      <c r="I305" s="141"/>
      <c r="J305" s="141"/>
      <c r="K305" s="79">
        <f t="shared" si="27"/>
        <v>6079.7</v>
      </c>
      <c r="L305" s="141"/>
      <c r="M305" s="141"/>
      <c r="N305" s="78">
        <f t="shared" si="28"/>
        <v>1823.9099999999999</v>
      </c>
      <c r="O305" s="79"/>
      <c r="P305" s="104"/>
      <c r="Q305" s="80">
        <f t="shared" si="29"/>
        <v>15807.22</v>
      </c>
      <c r="R305" s="105">
        <v>9</v>
      </c>
    </row>
    <row r="306" spans="1:18" ht="52.5" customHeight="1">
      <c r="A306" s="182">
        <v>9</v>
      </c>
      <c r="B306" s="328" t="s">
        <v>227</v>
      </c>
      <c r="C306" s="77">
        <v>4</v>
      </c>
      <c r="D306" s="411">
        <v>5527</v>
      </c>
      <c r="E306" s="79"/>
      <c r="F306" s="79"/>
      <c r="G306" s="79"/>
      <c r="H306" s="79"/>
      <c r="I306" s="79"/>
      <c r="J306" s="79"/>
      <c r="K306" s="79">
        <f t="shared" si="27"/>
        <v>5527</v>
      </c>
      <c r="L306" s="79"/>
      <c r="M306" s="79"/>
      <c r="N306" s="141">
        <f>K306*0.2</f>
        <v>1105.4</v>
      </c>
      <c r="O306" s="79"/>
      <c r="P306" s="104"/>
      <c r="Q306" s="80">
        <f t="shared" si="29"/>
        <v>26529.6</v>
      </c>
      <c r="R306" s="105">
        <v>9</v>
      </c>
    </row>
    <row r="307" spans="1:18" ht="70.5" hidden="1">
      <c r="A307" s="182">
        <v>6</v>
      </c>
      <c r="B307" s="328" t="s">
        <v>228</v>
      </c>
      <c r="C307" s="77">
        <v>0</v>
      </c>
      <c r="D307" s="411">
        <v>5527</v>
      </c>
      <c r="E307" s="79"/>
      <c r="F307" s="79"/>
      <c r="G307" s="79"/>
      <c r="H307" s="79"/>
      <c r="I307" s="79"/>
      <c r="J307" s="79"/>
      <c r="K307" s="79">
        <f t="shared" si="27"/>
        <v>5527</v>
      </c>
      <c r="L307" s="79"/>
      <c r="M307" s="79"/>
      <c r="N307" s="141">
        <f>K307*0.3</f>
        <v>1658.1</v>
      </c>
      <c r="O307" s="79"/>
      <c r="P307" s="104"/>
      <c r="Q307" s="80">
        <f t="shared" si="29"/>
        <v>0</v>
      </c>
      <c r="R307" s="105">
        <v>6</v>
      </c>
    </row>
    <row r="308" spans="1:18" ht="62.25" customHeight="1">
      <c r="A308" s="182">
        <v>11</v>
      </c>
      <c r="B308" s="328" t="s">
        <v>229</v>
      </c>
      <c r="C308" s="77">
        <v>18</v>
      </c>
      <c r="D308" s="411">
        <v>5527</v>
      </c>
      <c r="E308" s="79"/>
      <c r="F308" s="79"/>
      <c r="G308" s="79"/>
      <c r="H308" s="89"/>
      <c r="I308" s="79"/>
      <c r="J308" s="79"/>
      <c r="K308" s="79">
        <f t="shared" si="27"/>
        <v>5527</v>
      </c>
      <c r="L308" s="79"/>
      <c r="M308" s="79"/>
      <c r="N308" s="141">
        <f>K308*0.3</f>
        <v>1658.1</v>
      </c>
      <c r="O308" s="79"/>
      <c r="P308" s="104"/>
      <c r="Q308" s="80">
        <f t="shared" si="29"/>
        <v>129331.8</v>
      </c>
      <c r="R308" s="105">
        <v>9</v>
      </c>
    </row>
    <row r="309" spans="1:18" ht="64.5" customHeight="1">
      <c r="A309" s="182">
        <v>12</v>
      </c>
      <c r="B309" s="328" t="s">
        <v>230</v>
      </c>
      <c r="C309" s="77">
        <v>18</v>
      </c>
      <c r="D309" s="79">
        <v>4058</v>
      </c>
      <c r="E309" s="79"/>
      <c r="F309" s="79"/>
      <c r="G309" s="79"/>
      <c r="H309" s="79"/>
      <c r="I309" s="79"/>
      <c r="J309" s="79"/>
      <c r="K309" s="79">
        <f t="shared" si="27"/>
        <v>4058</v>
      </c>
      <c r="L309" s="79"/>
      <c r="M309" s="79"/>
      <c r="N309" s="79"/>
      <c r="O309" s="79"/>
      <c r="P309" s="104">
        <f>K309*10%</f>
        <v>405.8</v>
      </c>
      <c r="Q309" s="80">
        <f t="shared" si="29"/>
        <v>80348.40000000001</v>
      </c>
      <c r="R309" s="105">
        <v>4</v>
      </c>
    </row>
    <row r="310" spans="1:18" ht="37.5" customHeight="1">
      <c r="A310" s="182">
        <v>13</v>
      </c>
      <c r="B310" s="328" t="s">
        <v>231</v>
      </c>
      <c r="C310" s="77">
        <v>2</v>
      </c>
      <c r="D310" s="79">
        <v>4058</v>
      </c>
      <c r="E310" s="79"/>
      <c r="F310" s="79"/>
      <c r="G310" s="79"/>
      <c r="H310" s="79"/>
      <c r="I310" s="79"/>
      <c r="J310" s="79"/>
      <c r="K310" s="79">
        <f t="shared" si="27"/>
        <v>4058</v>
      </c>
      <c r="L310" s="79"/>
      <c r="M310" s="79"/>
      <c r="N310" s="79"/>
      <c r="O310" s="79"/>
      <c r="P310" s="104"/>
      <c r="Q310" s="80">
        <f t="shared" si="29"/>
        <v>8116</v>
      </c>
      <c r="R310" s="105">
        <v>4</v>
      </c>
    </row>
    <row r="311" spans="1:18" ht="62.25" customHeight="1">
      <c r="A311" s="182">
        <v>14</v>
      </c>
      <c r="B311" s="328" t="s">
        <v>232</v>
      </c>
      <c r="C311" s="77">
        <v>2</v>
      </c>
      <c r="D311" s="79">
        <v>3770</v>
      </c>
      <c r="E311" s="79"/>
      <c r="F311" s="79"/>
      <c r="G311" s="79"/>
      <c r="H311" s="79"/>
      <c r="I311" s="79"/>
      <c r="J311" s="79"/>
      <c r="K311" s="79">
        <f t="shared" si="27"/>
        <v>3770</v>
      </c>
      <c r="L311" s="79"/>
      <c r="M311" s="79"/>
      <c r="N311" s="79"/>
      <c r="O311" s="79"/>
      <c r="P311" s="104"/>
      <c r="Q311" s="80">
        <f t="shared" si="29"/>
        <v>7540</v>
      </c>
      <c r="R311" s="105">
        <v>3</v>
      </c>
    </row>
    <row r="312" spans="1:18" ht="35.25" customHeight="1" hidden="1">
      <c r="A312" s="455"/>
      <c r="B312" s="462"/>
      <c r="C312" s="462"/>
      <c r="D312" s="462"/>
      <c r="E312" s="462"/>
      <c r="F312" s="462"/>
      <c r="G312" s="462"/>
      <c r="H312" s="462"/>
      <c r="I312" s="462"/>
      <c r="J312" s="462"/>
      <c r="K312" s="462"/>
      <c r="L312" s="462"/>
      <c r="M312" s="462"/>
      <c r="N312" s="462"/>
      <c r="O312" s="462"/>
      <c r="P312" s="462"/>
      <c r="Q312" s="462"/>
      <c r="R312" s="456"/>
    </row>
    <row r="313" spans="1:18" ht="45" customHeight="1">
      <c r="A313" s="460" t="s">
        <v>32</v>
      </c>
      <c r="B313" s="461"/>
      <c r="C313" s="329">
        <f>SUM(C298:C312)</f>
        <v>52.25</v>
      </c>
      <c r="D313" s="330"/>
      <c r="E313" s="330"/>
      <c r="F313" s="330"/>
      <c r="G313" s="330"/>
      <c r="H313" s="330"/>
      <c r="I313" s="330"/>
      <c r="J313" s="330"/>
      <c r="K313" s="330"/>
      <c r="L313" s="330"/>
      <c r="M313" s="330"/>
      <c r="N313" s="330"/>
      <c r="O313" s="330"/>
      <c r="P313" s="330"/>
      <c r="Q313" s="347">
        <f>SUM(Q298:Q312)</f>
        <v>323557.48500000004</v>
      </c>
      <c r="R313" s="336"/>
    </row>
    <row r="314" spans="1:18" ht="45.75" customHeight="1" hidden="1">
      <c r="A314" s="109"/>
      <c r="B314" s="317"/>
      <c r="C314" s="25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348"/>
      <c r="R314" s="109"/>
    </row>
    <row r="315" spans="1:18" ht="41.25" customHeight="1">
      <c r="A315" s="109"/>
      <c r="B315" s="243" t="s">
        <v>184</v>
      </c>
      <c r="C315" s="107">
        <f>SUM(C298+C299)+C300+C301+C302+C303</f>
        <v>6</v>
      </c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349">
        <f>SUM(Q298+Q299)</f>
        <v>24515.14</v>
      </c>
      <c r="R315" s="109"/>
    </row>
    <row r="316" spans="1:18" ht="47.25" customHeight="1">
      <c r="A316" s="109"/>
      <c r="B316" s="243" t="s">
        <v>199</v>
      </c>
      <c r="C316" s="107">
        <f>C305+C306+C307+C308</f>
        <v>24</v>
      </c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349">
        <f>Q305+Q306+Q307+Q308</f>
        <v>171668.62</v>
      </c>
      <c r="R316" s="109"/>
    </row>
    <row r="317" spans="1:18" ht="42" customHeight="1">
      <c r="A317" s="109"/>
      <c r="B317" s="243" t="s">
        <v>107</v>
      </c>
      <c r="C317" s="107">
        <f>SUM(C309+C311)</f>
        <v>20</v>
      </c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349">
        <f>SUM(Q309+Q311)</f>
        <v>87888.40000000001</v>
      </c>
      <c r="R317" s="109"/>
    </row>
    <row r="318" spans="1:18" ht="45.75" customHeight="1">
      <c r="A318" s="109"/>
      <c r="B318" s="243" t="s">
        <v>108</v>
      </c>
      <c r="C318" s="107">
        <f>C310+C304</f>
        <v>2.25</v>
      </c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349">
        <f>Q310</f>
        <v>8116</v>
      </c>
      <c r="R318" s="109"/>
    </row>
    <row r="319" spans="1:18" ht="53.25" customHeight="1">
      <c r="A319" s="463" t="s">
        <v>233</v>
      </c>
      <c r="B319" s="463"/>
      <c r="C319" s="463"/>
      <c r="D319" s="463"/>
      <c r="E319" s="463"/>
      <c r="F319" s="463"/>
      <c r="G319" s="463"/>
      <c r="H319" s="463"/>
      <c r="I319" s="463"/>
      <c r="J319" s="463"/>
      <c r="K319" s="463"/>
      <c r="L319" s="463"/>
      <c r="M319" s="463"/>
      <c r="N319" s="463"/>
      <c r="O319" s="463"/>
      <c r="P319" s="463"/>
      <c r="Q319" s="463"/>
      <c r="R319" s="463"/>
    </row>
    <row r="320" spans="1:18" ht="39.75" customHeight="1" hidden="1">
      <c r="A320" s="331"/>
      <c r="B320" s="331"/>
      <c r="C320" s="332"/>
      <c r="D320" s="331"/>
      <c r="E320" s="331"/>
      <c r="F320" s="331"/>
      <c r="G320" s="331"/>
      <c r="H320" s="331"/>
      <c r="I320" s="331"/>
      <c r="J320" s="331"/>
      <c r="K320" s="331"/>
      <c r="L320" s="331"/>
      <c r="M320" s="331"/>
      <c r="N320" s="331"/>
      <c r="O320" s="331"/>
      <c r="P320" s="331"/>
      <c r="Q320" s="331"/>
      <c r="R320" s="331"/>
    </row>
    <row r="321" spans="1:18" ht="38.25" hidden="1">
      <c r="A321" s="231"/>
      <c r="B321" s="70"/>
      <c r="C321" s="97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</row>
    <row r="322" spans="1:18" ht="37.5">
      <c r="A322" s="72">
        <v>1</v>
      </c>
      <c r="B322" s="73">
        <v>2</v>
      </c>
      <c r="C322" s="74">
        <v>3</v>
      </c>
      <c r="D322" s="73">
        <v>4</v>
      </c>
      <c r="E322" s="73">
        <v>5</v>
      </c>
      <c r="F322" s="73">
        <v>6</v>
      </c>
      <c r="G322" s="73">
        <v>7</v>
      </c>
      <c r="H322" s="73">
        <v>8</v>
      </c>
      <c r="I322" s="73">
        <v>9</v>
      </c>
      <c r="J322" s="73">
        <v>10</v>
      </c>
      <c r="K322" s="73">
        <v>11</v>
      </c>
      <c r="L322" s="73">
        <v>12</v>
      </c>
      <c r="M322" s="73">
        <v>13</v>
      </c>
      <c r="N322" s="73">
        <v>14</v>
      </c>
      <c r="O322" s="73">
        <v>15</v>
      </c>
      <c r="P322" s="73">
        <v>16</v>
      </c>
      <c r="Q322" s="73">
        <v>17</v>
      </c>
      <c r="R322" s="73">
        <v>18</v>
      </c>
    </row>
    <row r="323" spans="1:18" ht="76.5">
      <c r="A323" s="182">
        <v>1</v>
      </c>
      <c r="B323" s="410" t="s">
        <v>234</v>
      </c>
      <c r="C323" s="77">
        <v>1</v>
      </c>
      <c r="D323" s="78">
        <v>7253</v>
      </c>
      <c r="E323" s="79">
        <f>D323*0.2</f>
        <v>1450.6000000000001</v>
      </c>
      <c r="F323" s="79">
        <f>(D323+E323)*0.2</f>
        <v>1740.7200000000003</v>
      </c>
      <c r="G323" s="79"/>
      <c r="H323" s="79"/>
      <c r="I323" s="79"/>
      <c r="J323" s="79"/>
      <c r="K323" s="79">
        <f aca="true" t="shared" si="30" ref="K323:K336">SUM(D323:J323)</f>
        <v>10444.32</v>
      </c>
      <c r="L323" s="79"/>
      <c r="M323" s="79"/>
      <c r="N323" s="141">
        <f aca="true" t="shared" si="31" ref="N323:N332">K323*0.3</f>
        <v>3133.296</v>
      </c>
      <c r="O323" s="79"/>
      <c r="P323" s="79"/>
      <c r="Q323" s="80">
        <f aca="true" t="shared" si="32" ref="Q323:Q336">SUM(K323:P323)*C323</f>
        <v>13577.616</v>
      </c>
      <c r="R323" s="105">
        <v>13</v>
      </c>
    </row>
    <row r="324" spans="1:18" ht="76.5">
      <c r="A324" s="182">
        <v>2</v>
      </c>
      <c r="B324" s="410" t="s">
        <v>235</v>
      </c>
      <c r="C324" s="77">
        <v>1</v>
      </c>
      <c r="D324" s="78">
        <v>7732</v>
      </c>
      <c r="E324" s="79"/>
      <c r="F324" s="79">
        <f>(D324+E324)*0.05</f>
        <v>386.6</v>
      </c>
      <c r="G324" s="79"/>
      <c r="H324" s="79"/>
      <c r="I324" s="79"/>
      <c r="J324" s="79"/>
      <c r="K324" s="79">
        <f t="shared" si="30"/>
        <v>8118.6</v>
      </c>
      <c r="L324" s="79"/>
      <c r="M324" s="79"/>
      <c r="N324" s="141">
        <f t="shared" si="31"/>
        <v>2435.58</v>
      </c>
      <c r="O324" s="79"/>
      <c r="P324" s="79"/>
      <c r="Q324" s="80">
        <f t="shared" si="32"/>
        <v>10554.18</v>
      </c>
      <c r="R324" s="105">
        <v>14</v>
      </c>
    </row>
    <row r="325" spans="1:18" ht="38.25">
      <c r="A325" s="182">
        <v>3</v>
      </c>
      <c r="B325" s="410" t="s">
        <v>324</v>
      </c>
      <c r="C325" s="77">
        <v>2</v>
      </c>
      <c r="D325" s="78">
        <v>7732</v>
      </c>
      <c r="E325" s="79"/>
      <c r="F325" s="79">
        <f>(D325+E325)*0.2</f>
        <v>1546.4</v>
      </c>
      <c r="G325" s="79"/>
      <c r="H325" s="79"/>
      <c r="I325" s="79"/>
      <c r="J325" s="79"/>
      <c r="K325" s="79">
        <f t="shared" si="30"/>
        <v>9278.4</v>
      </c>
      <c r="L325" s="79"/>
      <c r="M325" s="79"/>
      <c r="N325" s="141">
        <f>K325*0.3</f>
        <v>2783.52</v>
      </c>
      <c r="O325" s="79"/>
      <c r="P325" s="79"/>
      <c r="Q325" s="80">
        <f t="shared" si="32"/>
        <v>24123.84</v>
      </c>
      <c r="R325" s="105">
        <v>14</v>
      </c>
    </row>
    <row r="326" spans="1:18" ht="60" customHeight="1">
      <c r="A326" s="182">
        <v>4</v>
      </c>
      <c r="B326" s="410" t="s">
        <v>236</v>
      </c>
      <c r="C326" s="77">
        <v>1.75</v>
      </c>
      <c r="D326" s="78">
        <v>7253</v>
      </c>
      <c r="E326" s="79"/>
      <c r="F326" s="79">
        <f>(D326+E326)*0.2</f>
        <v>1450.6000000000001</v>
      </c>
      <c r="G326" s="79"/>
      <c r="H326" s="79"/>
      <c r="I326" s="79"/>
      <c r="J326" s="79"/>
      <c r="K326" s="79">
        <f t="shared" si="30"/>
        <v>8703.6</v>
      </c>
      <c r="L326" s="79"/>
      <c r="M326" s="79"/>
      <c r="N326" s="141">
        <f>K326*0.3</f>
        <v>2611.08</v>
      </c>
      <c r="O326" s="79"/>
      <c r="P326" s="79"/>
      <c r="Q326" s="80">
        <f t="shared" si="32"/>
        <v>19800.690000000002</v>
      </c>
      <c r="R326" s="105">
        <v>13</v>
      </c>
    </row>
    <row r="327" spans="1:18" ht="75" customHeight="1">
      <c r="A327" s="182">
        <v>5</v>
      </c>
      <c r="B327" s="410" t="s">
        <v>237</v>
      </c>
      <c r="C327" s="77">
        <v>0.5</v>
      </c>
      <c r="D327" s="78">
        <v>7732</v>
      </c>
      <c r="E327" s="79"/>
      <c r="F327" s="79">
        <f>(D327+E327)*0.2</f>
        <v>1546.4</v>
      </c>
      <c r="G327" s="79"/>
      <c r="H327" s="79"/>
      <c r="I327" s="79"/>
      <c r="J327" s="79"/>
      <c r="K327" s="79">
        <f t="shared" si="30"/>
        <v>9278.4</v>
      </c>
      <c r="L327" s="79"/>
      <c r="M327" s="79"/>
      <c r="N327" s="141">
        <f>K327*0.3</f>
        <v>2783.52</v>
      </c>
      <c r="O327" s="79"/>
      <c r="P327" s="79"/>
      <c r="Q327" s="80">
        <f t="shared" si="32"/>
        <v>6030.96</v>
      </c>
      <c r="R327" s="105">
        <v>14</v>
      </c>
    </row>
    <row r="328" spans="1:18" ht="76.5">
      <c r="A328" s="182">
        <v>6</v>
      </c>
      <c r="B328" s="410" t="s">
        <v>238</v>
      </c>
      <c r="C328" s="77">
        <v>3.25</v>
      </c>
      <c r="D328" s="78">
        <v>7253</v>
      </c>
      <c r="E328" s="79"/>
      <c r="F328" s="79">
        <f>(D328+E328)*0.2</f>
        <v>1450.6000000000001</v>
      </c>
      <c r="G328" s="79"/>
      <c r="H328" s="79"/>
      <c r="I328" s="79"/>
      <c r="J328" s="79"/>
      <c r="K328" s="79">
        <f t="shared" si="30"/>
        <v>8703.6</v>
      </c>
      <c r="L328" s="79"/>
      <c r="M328" s="79"/>
      <c r="N328" s="141">
        <f>K328*0.3</f>
        <v>2611.08</v>
      </c>
      <c r="O328" s="79"/>
      <c r="P328" s="79"/>
      <c r="Q328" s="80">
        <f t="shared" si="32"/>
        <v>36772.71</v>
      </c>
      <c r="R328" s="105">
        <v>13</v>
      </c>
    </row>
    <row r="329" spans="1:18" ht="76.5">
      <c r="A329" s="182">
        <v>7</v>
      </c>
      <c r="B329" s="76" t="s">
        <v>239</v>
      </c>
      <c r="C329" s="77">
        <v>1</v>
      </c>
      <c r="D329" s="79">
        <v>4633</v>
      </c>
      <c r="E329" s="79">
        <f>D329*0.1</f>
        <v>463.3</v>
      </c>
      <c r="F329" s="79"/>
      <c r="G329" s="79"/>
      <c r="H329" s="79"/>
      <c r="I329" s="79"/>
      <c r="J329" s="79"/>
      <c r="K329" s="79">
        <f t="shared" si="30"/>
        <v>5096.3</v>
      </c>
      <c r="L329" s="79"/>
      <c r="M329" s="79"/>
      <c r="N329" s="141">
        <f t="shared" si="31"/>
        <v>1528.89</v>
      </c>
      <c r="O329" s="79"/>
      <c r="P329" s="79"/>
      <c r="Q329" s="80">
        <f t="shared" si="32"/>
        <v>6625.1900000000005</v>
      </c>
      <c r="R329" s="105">
        <v>6</v>
      </c>
    </row>
    <row r="330" spans="1:18" ht="75.75" customHeight="1">
      <c r="A330" s="182">
        <v>8</v>
      </c>
      <c r="B330" s="76" t="s">
        <v>240</v>
      </c>
      <c r="C330" s="77">
        <v>0.5</v>
      </c>
      <c r="D330" s="79">
        <v>4633</v>
      </c>
      <c r="E330" s="79"/>
      <c r="F330" s="79"/>
      <c r="G330" s="79"/>
      <c r="H330" s="79"/>
      <c r="I330" s="79"/>
      <c r="J330" s="79"/>
      <c r="K330" s="79">
        <f t="shared" si="30"/>
        <v>4633</v>
      </c>
      <c r="L330" s="79"/>
      <c r="M330" s="79"/>
      <c r="N330" s="141">
        <f t="shared" si="31"/>
        <v>1389.8999999999999</v>
      </c>
      <c r="O330" s="79"/>
      <c r="P330" s="79"/>
      <c r="Q330" s="80">
        <f t="shared" si="32"/>
        <v>3011.45</v>
      </c>
      <c r="R330" s="105">
        <v>6</v>
      </c>
    </row>
    <row r="331" spans="1:18" ht="75.75" customHeight="1">
      <c r="A331" s="182">
        <v>9</v>
      </c>
      <c r="B331" s="76" t="s">
        <v>241</v>
      </c>
      <c r="C331" s="77">
        <v>0.5</v>
      </c>
      <c r="D331" s="79">
        <v>4920</v>
      </c>
      <c r="E331" s="79"/>
      <c r="F331" s="79"/>
      <c r="G331" s="79"/>
      <c r="H331" s="79"/>
      <c r="I331" s="79"/>
      <c r="J331" s="79"/>
      <c r="K331" s="79">
        <f t="shared" si="30"/>
        <v>4920</v>
      </c>
      <c r="L331" s="79"/>
      <c r="M331" s="79"/>
      <c r="N331" s="141">
        <f t="shared" si="31"/>
        <v>1476</v>
      </c>
      <c r="O331" s="79"/>
      <c r="P331" s="79"/>
      <c r="Q331" s="80">
        <f t="shared" si="32"/>
        <v>3198</v>
      </c>
      <c r="R331" s="105">
        <v>7</v>
      </c>
    </row>
    <row r="332" spans="1:18" ht="76.5">
      <c r="A332" s="182">
        <v>10</v>
      </c>
      <c r="B332" s="76" t="s">
        <v>217</v>
      </c>
      <c r="C332" s="77">
        <v>4.5</v>
      </c>
      <c r="D332" s="79">
        <v>5527</v>
      </c>
      <c r="E332" s="79"/>
      <c r="F332" s="79"/>
      <c r="G332" s="79"/>
      <c r="H332" s="79"/>
      <c r="I332" s="79"/>
      <c r="J332" s="79"/>
      <c r="K332" s="79">
        <f t="shared" si="30"/>
        <v>5527</v>
      </c>
      <c r="L332" s="79"/>
      <c r="M332" s="79"/>
      <c r="N332" s="141">
        <f t="shared" si="31"/>
        <v>1658.1</v>
      </c>
      <c r="O332" s="79"/>
      <c r="P332" s="79"/>
      <c r="Q332" s="80">
        <f t="shared" si="32"/>
        <v>32332.95</v>
      </c>
      <c r="R332" s="105">
        <v>9</v>
      </c>
    </row>
    <row r="333" spans="1:18" ht="76.5">
      <c r="A333" s="182">
        <v>11</v>
      </c>
      <c r="B333" s="76" t="s">
        <v>242</v>
      </c>
      <c r="C333" s="77">
        <v>1</v>
      </c>
      <c r="D333" s="79">
        <v>4058</v>
      </c>
      <c r="E333" s="79"/>
      <c r="F333" s="79"/>
      <c r="G333" s="79"/>
      <c r="H333" s="79"/>
      <c r="I333" s="79"/>
      <c r="J333" s="79"/>
      <c r="K333" s="79">
        <f t="shared" si="30"/>
        <v>4058</v>
      </c>
      <c r="L333" s="79"/>
      <c r="M333" s="79"/>
      <c r="N333" s="141"/>
      <c r="O333" s="79"/>
      <c r="P333" s="79">
        <f>K333*10%</f>
        <v>405.8</v>
      </c>
      <c r="Q333" s="80">
        <f t="shared" si="32"/>
        <v>4463.8</v>
      </c>
      <c r="R333" s="105">
        <v>4</v>
      </c>
    </row>
    <row r="334" spans="1:18" ht="76.5">
      <c r="A334" s="182">
        <v>12</v>
      </c>
      <c r="B334" s="76" t="s">
        <v>243</v>
      </c>
      <c r="C334" s="77">
        <v>4.5</v>
      </c>
      <c r="D334" s="79">
        <v>4058</v>
      </c>
      <c r="E334" s="79"/>
      <c r="F334" s="79"/>
      <c r="G334" s="79"/>
      <c r="H334" s="79"/>
      <c r="I334" s="79"/>
      <c r="J334" s="79"/>
      <c r="K334" s="79">
        <f t="shared" si="30"/>
        <v>4058</v>
      </c>
      <c r="L334" s="79"/>
      <c r="M334" s="79"/>
      <c r="N334" s="79"/>
      <c r="O334" s="79"/>
      <c r="P334" s="79">
        <f>K334*10%</f>
        <v>405.8</v>
      </c>
      <c r="Q334" s="80">
        <f t="shared" si="32"/>
        <v>20087.100000000002</v>
      </c>
      <c r="R334" s="105">
        <v>4</v>
      </c>
    </row>
    <row r="335" spans="1:18" ht="52.5" customHeight="1">
      <c r="A335" s="182">
        <v>13</v>
      </c>
      <c r="B335" s="76" t="s">
        <v>231</v>
      </c>
      <c r="C335" s="77">
        <v>0.5</v>
      </c>
      <c r="D335" s="79">
        <v>4058</v>
      </c>
      <c r="E335" s="79"/>
      <c r="F335" s="79"/>
      <c r="G335" s="79"/>
      <c r="H335" s="79"/>
      <c r="I335" s="79"/>
      <c r="J335" s="79"/>
      <c r="K335" s="79">
        <f t="shared" si="30"/>
        <v>4058</v>
      </c>
      <c r="L335" s="79"/>
      <c r="M335" s="79"/>
      <c r="N335" s="79"/>
      <c r="O335" s="79"/>
      <c r="P335" s="79"/>
      <c r="Q335" s="80">
        <f t="shared" si="32"/>
        <v>2029</v>
      </c>
      <c r="R335" s="105">
        <v>4</v>
      </c>
    </row>
    <row r="336" spans="1:18" ht="76.5">
      <c r="A336" s="182">
        <v>14</v>
      </c>
      <c r="B336" s="76" t="s">
        <v>244</v>
      </c>
      <c r="C336" s="77">
        <v>0.5</v>
      </c>
      <c r="D336" s="79">
        <v>3770</v>
      </c>
      <c r="E336" s="79"/>
      <c r="F336" s="79"/>
      <c r="G336" s="79"/>
      <c r="H336" s="79"/>
      <c r="I336" s="79"/>
      <c r="J336" s="79"/>
      <c r="K336" s="79">
        <f t="shared" si="30"/>
        <v>3770</v>
      </c>
      <c r="L336" s="79"/>
      <c r="M336" s="79"/>
      <c r="N336" s="79"/>
      <c r="O336" s="79"/>
      <c r="P336" s="79"/>
      <c r="Q336" s="80">
        <f t="shared" si="32"/>
        <v>1885</v>
      </c>
      <c r="R336" s="105">
        <v>3</v>
      </c>
    </row>
    <row r="337" spans="1:18" ht="45.75" customHeight="1">
      <c r="A337" s="452" t="s">
        <v>32</v>
      </c>
      <c r="B337" s="453"/>
      <c r="C337" s="329">
        <f>C323+C324+C326+C325+C329+C332+C334+C335+C336+C330+C331+C333+C327+C328</f>
        <v>22.5</v>
      </c>
      <c r="D337" s="350"/>
      <c r="E337" s="350"/>
      <c r="F337" s="350"/>
      <c r="G337" s="350"/>
      <c r="H337" s="350"/>
      <c r="I337" s="350"/>
      <c r="J337" s="350"/>
      <c r="K337" s="350"/>
      <c r="L337" s="350"/>
      <c r="M337" s="350"/>
      <c r="N337" s="350"/>
      <c r="O337" s="350"/>
      <c r="P337" s="350"/>
      <c r="Q337" s="374">
        <f>Q336+Q335+Q334+Q332+Q330+Q329+Q326+Q325+Q324+Q323+Q331+Q333</f>
        <v>141688.816</v>
      </c>
      <c r="R337" s="375"/>
    </row>
    <row r="338" spans="1:18" ht="27" customHeight="1">
      <c r="A338" s="351"/>
      <c r="B338" s="68"/>
      <c r="C338" s="352"/>
      <c r="D338" s="351"/>
      <c r="E338" s="351"/>
      <c r="F338" s="351"/>
      <c r="G338" s="351"/>
      <c r="H338" s="351"/>
      <c r="I338" s="351"/>
      <c r="J338" s="351"/>
      <c r="K338" s="351"/>
      <c r="L338" s="351"/>
      <c r="M338" s="351"/>
      <c r="N338" s="351"/>
      <c r="O338" s="351"/>
      <c r="P338" s="351"/>
      <c r="Q338" s="376"/>
      <c r="R338" s="351"/>
    </row>
    <row r="339" spans="1:18" ht="35.25" customHeight="1">
      <c r="A339" s="351"/>
      <c r="B339" s="288" t="s">
        <v>184</v>
      </c>
      <c r="C339" s="69">
        <f>SUM(C323:C326)+C328+C327</f>
        <v>9.5</v>
      </c>
      <c r="D339" s="351"/>
      <c r="E339" s="351"/>
      <c r="F339" s="351"/>
      <c r="G339" s="351"/>
      <c r="H339" s="351"/>
      <c r="I339" s="351"/>
      <c r="J339" s="351"/>
      <c r="K339" s="351"/>
      <c r="L339" s="351"/>
      <c r="M339" s="351"/>
      <c r="N339" s="351"/>
      <c r="O339" s="351"/>
      <c r="P339" s="351"/>
      <c r="Q339" s="377">
        <f>SUM(Q323:Q326)</f>
        <v>68056.326</v>
      </c>
      <c r="R339" s="351"/>
    </row>
    <row r="340" spans="1:18" ht="37.5" customHeight="1">
      <c r="A340" s="351"/>
      <c r="B340" s="288" t="s">
        <v>199</v>
      </c>
      <c r="C340" s="69">
        <f>SUM(C329:C332)</f>
        <v>6.5</v>
      </c>
      <c r="D340" s="351"/>
      <c r="E340" s="351"/>
      <c r="F340" s="351"/>
      <c r="G340" s="351"/>
      <c r="H340" s="351"/>
      <c r="I340" s="351"/>
      <c r="J340" s="351"/>
      <c r="K340" s="351"/>
      <c r="L340" s="351"/>
      <c r="M340" s="351"/>
      <c r="N340" s="351"/>
      <c r="O340" s="351"/>
      <c r="P340" s="351"/>
      <c r="Q340" s="377">
        <f>SUM(Q329:Q332)</f>
        <v>45167.59</v>
      </c>
      <c r="R340" s="351"/>
    </row>
    <row r="341" spans="1:18" ht="35.25" customHeight="1">
      <c r="A341" s="351"/>
      <c r="B341" s="288" t="s">
        <v>107</v>
      </c>
      <c r="C341" s="69">
        <f>C334+C336+C333</f>
        <v>6</v>
      </c>
      <c r="D341" s="351"/>
      <c r="E341" s="351"/>
      <c r="F341" s="351"/>
      <c r="G341" s="351"/>
      <c r="H341" s="351"/>
      <c r="I341" s="351"/>
      <c r="J341" s="351"/>
      <c r="K341" s="351"/>
      <c r="L341" s="351"/>
      <c r="M341" s="351"/>
      <c r="N341" s="351"/>
      <c r="O341" s="351"/>
      <c r="P341" s="351"/>
      <c r="Q341" s="378">
        <f>Q334+Q336+Q333</f>
        <v>26435.9</v>
      </c>
      <c r="R341" s="351"/>
    </row>
    <row r="342" spans="1:18" ht="35.25" customHeight="1">
      <c r="A342" s="147"/>
      <c r="B342" s="133" t="s">
        <v>108</v>
      </c>
      <c r="C342" s="205">
        <f>C335</f>
        <v>0.5</v>
      </c>
      <c r="D342" s="148"/>
      <c r="E342" s="148"/>
      <c r="F342" s="148"/>
      <c r="G342" s="148"/>
      <c r="H342" s="148"/>
      <c r="I342" s="148"/>
      <c r="J342" s="148"/>
      <c r="K342" s="148"/>
      <c r="L342" s="148"/>
      <c r="M342" s="148"/>
      <c r="N342" s="148"/>
      <c r="O342" s="148"/>
      <c r="P342" s="148"/>
      <c r="Q342" s="379">
        <f>Q335</f>
        <v>2029</v>
      </c>
      <c r="R342" s="148"/>
    </row>
    <row r="343" spans="1:18" ht="1.5" customHeight="1">
      <c r="A343" s="147"/>
      <c r="B343" s="148"/>
      <c r="C343" s="149"/>
      <c r="D343" s="148"/>
      <c r="E343" s="148"/>
      <c r="F343" s="148"/>
      <c r="G343" s="148"/>
      <c r="H343" s="148"/>
      <c r="I343" s="148"/>
      <c r="J343" s="148"/>
      <c r="K343" s="148"/>
      <c r="L343" s="148"/>
      <c r="M343" s="148"/>
      <c r="N343" s="148"/>
      <c r="O343" s="148"/>
      <c r="P343" s="148"/>
      <c r="Q343" s="148"/>
      <c r="R343" s="148"/>
    </row>
    <row r="344" spans="1:18" ht="39" customHeight="1">
      <c r="A344" s="148"/>
      <c r="B344" s="148"/>
      <c r="C344" s="149"/>
      <c r="D344" s="148"/>
      <c r="E344" s="148"/>
      <c r="F344" s="331" t="s">
        <v>245</v>
      </c>
      <c r="G344" s="148"/>
      <c r="H344" s="148"/>
      <c r="I344" s="148"/>
      <c r="J344" s="148"/>
      <c r="K344" s="148"/>
      <c r="L344" s="148"/>
      <c r="M344" s="148"/>
      <c r="N344" s="148"/>
      <c r="O344" s="148"/>
      <c r="P344" s="148"/>
      <c r="Q344" s="148"/>
      <c r="R344" s="148"/>
    </row>
    <row r="345" spans="1:18" ht="6" customHeight="1" hidden="1">
      <c r="A345" s="353"/>
      <c r="B345" s="148"/>
      <c r="C345" s="149"/>
      <c r="D345" s="148"/>
      <c r="E345" s="148"/>
      <c r="F345" s="148"/>
      <c r="G345" s="148"/>
      <c r="H345" s="148"/>
      <c r="I345" s="148"/>
      <c r="J345" s="148"/>
      <c r="K345" s="148"/>
      <c r="L345" s="148"/>
      <c r="M345" s="148"/>
      <c r="N345" s="148"/>
      <c r="O345" s="148"/>
      <c r="P345" s="148"/>
      <c r="Q345" s="148"/>
      <c r="R345" s="148"/>
    </row>
    <row r="346" spans="1:18" ht="37.5">
      <c r="A346" s="61">
        <v>1</v>
      </c>
      <c r="B346" s="131">
        <v>2</v>
      </c>
      <c r="C346" s="412">
        <v>3</v>
      </c>
      <c r="D346" s="131">
        <v>4</v>
      </c>
      <c r="E346" s="131">
        <v>5</v>
      </c>
      <c r="F346" s="131">
        <v>6</v>
      </c>
      <c r="G346" s="131">
        <v>7</v>
      </c>
      <c r="H346" s="131">
        <v>8</v>
      </c>
      <c r="I346" s="131">
        <v>9</v>
      </c>
      <c r="J346" s="131">
        <v>10</v>
      </c>
      <c r="K346" s="131">
        <v>11</v>
      </c>
      <c r="L346" s="131">
        <v>12</v>
      </c>
      <c r="M346" s="131">
        <v>13</v>
      </c>
      <c r="N346" s="131">
        <v>14</v>
      </c>
      <c r="O346" s="131">
        <v>15</v>
      </c>
      <c r="P346" s="131">
        <v>16</v>
      </c>
      <c r="Q346" s="131">
        <v>17</v>
      </c>
      <c r="R346" s="131">
        <v>18</v>
      </c>
    </row>
    <row r="347" spans="1:18" ht="82.5" customHeight="1">
      <c r="A347" s="212">
        <v>1</v>
      </c>
      <c r="B347" s="354" t="s">
        <v>246</v>
      </c>
      <c r="C347" s="250">
        <v>1</v>
      </c>
      <c r="D347" s="127">
        <v>7253</v>
      </c>
      <c r="E347" s="127"/>
      <c r="F347" s="127"/>
      <c r="G347" s="127"/>
      <c r="H347" s="127"/>
      <c r="I347" s="127"/>
      <c r="J347" s="127"/>
      <c r="K347" s="101">
        <f>SUM(D347:J347)</f>
        <v>7253</v>
      </c>
      <c r="L347" s="127"/>
      <c r="M347" s="127"/>
      <c r="N347" s="127">
        <f>K347*0.2</f>
        <v>1450.6000000000001</v>
      </c>
      <c r="O347" s="127"/>
      <c r="P347" s="127"/>
      <c r="Q347" s="308">
        <f>SUM(K347:P347)*C347</f>
        <v>8703.6</v>
      </c>
      <c r="R347" s="118">
        <v>13</v>
      </c>
    </row>
    <row r="348" spans="1:18" ht="82.5" customHeight="1">
      <c r="A348" s="212">
        <v>2</v>
      </c>
      <c r="B348" s="355" t="s">
        <v>247</v>
      </c>
      <c r="C348" s="100">
        <v>0.5</v>
      </c>
      <c r="D348" s="356">
        <v>3770</v>
      </c>
      <c r="E348" s="357"/>
      <c r="F348" s="101"/>
      <c r="G348" s="101"/>
      <c r="H348" s="101"/>
      <c r="I348" s="101"/>
      <c r="J348" s="101"/>
      <c r="K348" s="101">
        <f>SUM(D348:J348)</f>
        <v>3770</v>
      </c>
      <c r="L348" s="101"/>
      <c r="M348" s="101"/>
      <c r="N348" s="101"/>
      <c r="O348" s="101"/>
      <c r="P348" s="101"/>
      <c r="Q348" s="308">
        <f>SUM(K348:P348)*C348</f>
        <v>1885</v>
      </c>
      <c r="R348" s="117">
        <v>3</v>
      </c>
    </row>
    <row r="349" spans="1:18" ht="76.5">
      <c r="A349" s="319">
        <v>3</v>
      </c>
      <c r="B349" s="358" t="s">
        <v>248</v>
      </c>
      <c r="C349" s="100">
        <v>0.5</v>
      </c>
      <c r="D349" s="356">
        <v>3770</v>
      </c>
      <c r="E349" s="357"/>
      <c r="F349" s="101"/>
      <c r="G349" s="101"/>
      <c r="H349" s="101"/>
      <c r="I349" s="101"/>
      <c r="J349" s="101"/>
      <c r="K349" s="101">
        <f>SUM(D349:J349)</f>
        <v>3770</v>
      </c>
      <c r="L349" s="101"/>
      <c r="M349" s="101"/>
      <c r="N349" s="101"/>
      <c r="O349" s="101"/>
      <c r="P349" s="101">
        <f>K349*10%</f>
        <v>377</v>
      </c>
      <c r="Q349" s="127">
        <f>SUM(K349:P349)*C349</f>
        <v>2073.5</v>
      </c>
      <c r="R349" s="117">
        <v>3</v>
      </c>
    </row>
    <row r="350" spans="1:18" ht="45.75" customHeight="1">
      <c r="A350" s="455" t="s">
        <v>32</v>
      </c>
      <c r="B350" s="456"/>
      <c r="C350" s="92">
        <f>SUM(C347:C349)</f>
        <v>2</v>
      </c>
      <c r="D350" s="215"/>
      <c r="E350" s="215"/>
      <c r="F350" s="215"/>
      <c r="G350" s="215"/>
      <c r="H350" s="215"/>
      <c r="I350" s="215"/>
      <c r="J350" s="215"/>
      <c r="K350" s="215"/>
      <c r="L350" s="215"/>
      <c r="M350" s="215"/>
      <c r="N350" s="215"/>
      <c r="O350" s="215"/>
      <c r="P350" s="215"/>
      <c r="Q350" s="169">
        <f>SUM(Q347:Q349)</f>
        <v>12662.1</v>
      </c>
      <c r="R350" s="117"/>
    </row>
    <row r="351" spans="1:18" ht="29.25" customHeight="1">
      <c r="A351" s="148"/>
      <c r="B351" s="133" t="s">
        <v>180</v>
      </c>
      <c r="C351" s="359">
        <v>1</v>
      </c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70"/>
      <c r="Q351" s="380">
        <f>SUM(Q347:Q347)</f>
        <v>8703.6</v>
      </c>
      <c r="R351" s="148"/>
    </row>
    <row r="352" spans="1:18" ht="36.75" customHeight="1">
      <c r="A352" s="148"/>
      <c r="B352" s="133" t="s">
        <v>107</v>
      </c>
      <c r="C352" s="205">
        <f>0.5</f>
        <v>0.5</v>
      </c>
      <c r="D352" s="360"/>
      <c r="E352" s="360"/>
      <c r="F352" s="360"/>
      <c r="G352" s="360"/>
      <c r="H352" s="360"/>
      <c r="I352" s="360"/>
      <c r="J352" s="360"/>
      <c r="K352" s="360"/>
      <c r="L352" s="360"/>
      <c r="M352" s="360"/>
      <c r="N352" s="360"/>
      <c r="O352" s="360"/>
      <c r="P352" s="370"/>
      <c r="Q352" s="379">
        <f>SUM(Q349)</f>
        <v>2073.5</v>
      </c>
      <c r="R352" s="148"/>
    </row>
    <row r="353" spans="1:18" ht="22.5" customHeight="1" hidden="1">
      <c r="A353" s="109"/>
      <c r="B353" s="133" t="s">
        <v>107</v>
      </c>
      <c r="C353" s="205">
        <f>0.5</f>
        <v>0.5</v>
      </c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379">
        <f aca="true" t="shared" si="33" ref="Q353:Q358">SUM(Q350)</f>
        <v>12662.1</v>
      </c>
      <c r="R353" s="109"/>
    </row>
    <row r="354" spans="1:18" ht="22.5" customHeight="1" hidden="1">
      <c r="A354" s="109"/>
      <c r="B354" s="133" t="s">
        <v>107</v>
      </c>
      <c r="C354" s="205">
        <f>0.5</f>
        <v>0.5</v>
      </c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379">
        <f t="shared" si="33"/>
        <v>8703.6</v>
      </c>
      <c r="R354" s="109"/>
    </row>
    <row r="355" spans="1:18" ht="22.5" customHeight="1" hidden="1">
      <c r="A355" s="109"/>
      <c r="B355" s="133" t="s">
        <v>107</v>
      </c>
      <c r="C355" s="205">
        <f>0.5</f>
        <v>0.5</v>
      </c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379">
        <f t="shared" si="33"/>
        <v>2073.5</v>
      </c>
      <c r="R355" s="109"/>
    </row>
    <row r="356" spans="1:18" ht="28.5" customHeight="1" hidden="1">
      <c r="A356" s="109"/>
      <c r="B356" s="133" t="s">
        <v>107</v>
      </c>
      <c r="C356" s="205">
        <f>0.5</f>
        <v>0.5</v>
      </c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379">
        <f t="shared" si="33"/>
        <v>12662.1</v>
      </c>
      <c r="R356" s="109"/>
    </row>
    <row r="357" spans="1:18" ht="31.5" customHeight="1">
      <c r="A357" s="324" t="s">
        <v>249</v>
      </c>
      <c r="B357" s="133" t="s">
        <v>108</v>
      </c>
      <c r="C357" s="205">
        <f>C348</f>
        <v>0.5</v>
      </c>
      <c r="D357" s="45"/>
      <c r="E357" s="45" t="s">
        <v>35</v>
      </c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379">
        <f>Q348</f>
        <v>1885</v>
      </c>
      <c r="R357" s="70"/>
    </row>
    <row r="358" spans="1:18" ht="38.25" hidden="1">
      <c r="A358" s="231"/>
      <c r="B358" s="70"/>
      <c r="C358" s="97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379">
        <f t="shared" si="33"/>
        <v>2073.5</v>
      </c>
      <c r="R358" s="70"/>
    </row>
    <row r="359" spans="1:18" ht="39">
      <c r="A359" s="231"/>
      <c r="B359" s="70"/>
      <c r="C359" s="97"/>
      <c r="D359" s="459" t="s">
        <v>250</v>
      </c>
      <c r="E359" s="459"/>
      <c r="F359" s="459"/>
      <c r="G359" s="459"/>
      <c r="H359" s="459"/>
      <c r="I359" s="459"/>
      <c r="J359" s="459"/>
      <c r="K359" s="459"/>
      <c r="L359" s="459"/>
      <c r="M359" s="459"/>
      <c r="N359" s="459"/>
      <c r="O359" s="459"/>
      <c r="P359" s="70"/>
      <c r="Q359" s="379"/>
      <c r="R359" s="70"/>
    </row>
    <row r="360" spans="1:18" ht="76.5">
      <c r="A360" s="319">
        <v>1</v>
      </c>
      <c r="B360" s="138" t="s">
        <v>251</v>
      </c>
      <c r="C360" s="139">
        <v>0.5</v>
      </c>
      <c r="D360" s="218">
        <v>5815</v>
      </c>
      <c r="E360" s="218"/>
      <c r="F360" s="218"/>
      <c r="G360" s="218"/>
      <c r="H360" s="218">
        <f>D360*0.15</f>
        <v>872.25</v>
      </c>
      <c r="I360" s="218"/>
      <c r="J360" s="218"/>
      <c r="K360" s="80">
        <f>SUM(D360:J360)</f>
        <v>6687.25</v>
      </c>
      <c r="L360" s="218"/>
      <c r="M360" s="218"/>
      <c r="N360" s="218">
        <f>K360*0.3</f>
        <v>2006.175</v>
      </c>
      <c r="O360" s="218"/>
      <c r="P360" s="371"/>
      <c r="Q360" s="80">
        <f>SUM(K360:P360)*C360</f>
        <v>4346.7125</v>
      </c>
      <c r="R360" s="162">
        <v>10</v>
      </c>
    </row>
    <row r="361" spans="1:18" ht="34.5" customHeight="1">
      <c r="A361" s="182">
        <v>2</v>
      </c>
      <c r="B361" s="99" t="s">
        <v>252</v>
      </c>
      <c r="C361" s="100">
        <v>0.5</v>
      </c>
      <c r="D361" s="101">
        <v>3770</v>
      </c>
      <c r="E361" s="101"/>
      <c r="F361" s="101"/>
      <c r="G361" s="101"/>
      <c r="H361" s="361">
        <f>D361*0.15</f>
        <v>565.5</v>
      </c>
      <c r="I361" s="101"/>
      <c r="J361" s="101"/>
      <c r="K361" s="101">
        <f>SUM(D361:J361)</f>
        <v>4335.5</v>
      </c>
      <c r="L361" s="101"/>
      <c r="M361" s="101"/>
      <c r="N361" s="101"/>
      <c r="O361" s="101"/>
      <c r="P361" s="215"/>
      <c r="Q361" s="127">
        <f>SUM(K361:P361)*C361</f>
        <v>2167.75</v>
      </c>
      <c r="R361" s="117">
        <v>3</v>
      </c>
    </row>
    <row r="362" spans="1:18" ht="34.5" customHeight="1">
      <c r="A362" s="455" t="s">
        <v>32</v>
      </c>
      <c r="B362" s="456"/>
      <c r="C362" s="92">
        <f>SUM(C360:C361)</f>
        <v>1</v>
      </c>
      <c r="D362" s="215"/>
      <c r="E362" s="215"/>
      <c r="F362" s="215"/>
      <c r="G362" s="215"/>
      <c r="H362" s="215"/>
      <c r="I362" s="215"/>
      <c r="J362" s="215"/>
      <c r="K362" s="215"/>
      <c r="L362" s="215"/>
      <c r="M362" s="215"/>
      <c r="N362" s="215"/>
      <c r="O362" s="215"/>
      <c r="P362" s="215"/>
      <c r="Q362" s="169">
        <f>SUM(Q360:Q361)</f>
        <v>6514.4625</v>
      </c>
      <c r="R362" s="117"/>
    </row>
    <row r="363" spans="1:18" ht="41.25" customHeight="1">
      <c r="A363" s="147"/>
      <c r="B363" s="133" t="s">
        <v>184</v>
      </c>
      <c r="C363" s="205">
        <f>C360</f>
        <v>0.5</v>
      </c>
      <c r="D363" s="148"/>
      <c r="E363" s="148"/>
      <c r="F363" s="148"/>
      <c r="G363" s="148"/>
      <c r="H363" s="148"/>
      <c r="I363" s="148"/>
      <c r="J363" s="148"/>
      <c r="K363" s="148"/>
      <c r="L363" s="148"/>
      <c r="M363" s="148"/>
      <c r="N363" s="148"/>
      <c r="O363" s="148"/>
      <c r="P363" s="147"/>
      <c r="Q363" s="379">
        <f>SUM(Q360)</f>
        <v>4346.7125</v>
      </c>
      <c r="R363" s="148"/>
    </row>
    <row r="364" spans="1:18" ht="29.25" customHeight="1">
      <c r="A364" s="147"/>
      <c r="B364" s="133" t="s">
        <v>107</v>
      </c>
      <c r="C364" s="205">
        <f>C361</f>
        <v>0.5</v>
      </c>
      <c r="D364" s="148"/>
      <c r="E364" s="148"/>
      <c r="F364" s="148"/>
      <c r="G364" s="148"/>
      <c r="H364" s="148"/>
      <c r="I364" s="148"/>
      <c r="J364" s="148"/>
      <c r="K364" s="148"/>
      <c r="L364" s="148"/>
      <c r="M364" s="148"/>
      <c r="N364" s="148"/>
      <c r="O364" s="148"/>
      <c r="P364" s="372"/>
      <c r="Q364" s="379">
        <f>SUM(Q361)</f>
        <v>2167.75</v>
      </c>
      <c r="R364" s="148"/>
    </row>
    <row r="365" spans="1:18" ht="1.5" customHeight="1" hidden="1">
      <c r="A365" s="263"/>
      <c r="B365" s="70"/>
      <c r="C365" s="97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</row>
    <row r="366" spans="1:18" ht="1.5" customHeight="1" hidden="1">
      <c r="A366" s="263"/>
      <c r="B366" s="70"/>
      <c r="C366" s="97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</row>
    <row r="367" spans="1:18" ht="1.5" customHeight="1" hidden="1">
      <c r="A367" s="263"/>
      <c r="B367" s="70"/>
      <c r="C367" s="97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</row>
    <row r="368" spans="1:18" s="45" customFormat="1" ht="41.25" customHeight="1">
      <c r="A368" s="454" t="s">
        <v>253</v>
      </c>
      <c r="B368" s="454"/>
      <c r="C368" s="454"/>
      <c r="D368" s="454"/>
      <c r="E368" s="454"/>
      <c r="F368" s="454"/>
      <c r="G368" s="454"/>
      <c r="H368" s="454"/>
      <c r="I368" s="454"/>
      <c r="J368" s="454"/>
      <c r="K368" s="454"/>
      <c r="L368" s="454"/>
      <c r="M368" s="454"/>
      <c r="N368" s="454"/>
      <c r="O368" s="454"/>
      <c r="P368" s="454"/>
      <c r="Q368" s="454"/>
      <c r="R368" s="454"/>
    </row>
    <row r="369" spans="1:18" ht="81.75" customHeight="1">
      <c r="A369" s="319">
        <v>1</v>
      </c>
      <c r="B369" s="362" t="s">
        <v>254</v>
      </c>
      <c r="C369" s="139">
        <v>1</v>
      </c>
      <c r="D369" s="218">
        <v>7253</v>
      </c>
      <c r="E369" s="218">
        <f>D369*0.1</f>
        <v>725.3000000000001</v>
      </c>
      <c r="F369" s="218"/>
      <c r="G369" s="218"/>
      <c r="H369" s="218">
        <f>(D369+E369)*0.15</f>
        <v>1196.745</v>
      </c>
      <c r="I369" s="218"/>
      <c r="J369" s="218"/>
      <c r="K369" s="80">
        <f>SUM(D369:J369)</f>
        <v>9175.045</v>
      </c>
      <c r="L369" s="218"/>
      <c r="M369" s="218"/>
      <c r="N369" s="140">
        <f>K369*0.3</f>
        <v>2752.5135</v>
      </c>
      <c r="O369" s="218"/>
      <c r="P369" s="371"/>
      <c r="Q369" s="80">
        <f>SUM(K369:P369)*C369</f>
        <v>11927.5585</v>
      </c>
      <c r="R369" s="162">
        <v>13</v>
      </c>
    </row>
    <row r="370" spans="1:18" ht="42" customHeight="1">
      <c r="A370" s="319">
        <v>2</v>
      </c>
      <c r="B370" s="363" t="s">
        <v>255</v>
      </c>
      <c r="C370" s="77">
        <v>2</v>
      </c>
      <c r="D370" s="79">
        <v>7253</v>
      </c>
      <c r="E370" s="79"/>
      <c r="F370" s="79"/>
      <c r="G370" s="79"/>
      <c r="H370" s="218">
        <f>D370*0.15</f>
        <v>1087.95</v>
      </c>
      <c r="I370" s="79"/>
      <c r="J370" s="79"/>
      <c r="K370" s="79">
        <f>SUM(D370:J370)</f>
        <v>8340.95</v>
      </c>
      <c r="L370" s="79"/>
      <c r="M370" s="79"/>
      <c r="N370" s="140">
        <f>K370*0.3</f>
        <v>2502.2850000000003</v>
      </c>
      <c r="O370" s="79"/>
      <c r="P370" s="104"/>
      <c r="Q370" s="80">
        <f>SUM(K370:P370)*C370</f>
        <v>21686.47</v>
      </c>
      <c r="R370" s="105">
        <v>13</v>
      </c>
    </row>
    <row r="371" spans="1:18" ht="68.25" customHeight="1">
      <c r="A371" s="319">
        <v>3</v>
      </c>
      <c r="B371" s="364" t="s">
        <v>256</v>
      </c>
      <c r="C371" s="77">
        <v>2.25</v>
      </c>
      <c r="D371" s="78">
        <v>5815</v>
      </c>
      <c r="E371" s="79"/>
      <c r="F371" s="79"/>
      <c r="G371" s="79"/>
      <c r="H371" s="218">
        <f>D371*0.15</f>
        <v>872.25</v>
      </c>
      <c r="I371" s="79"/>
      <c r="J371" s="79"/>
      <c r="K371" s="79">
        <f>SUM(D371:J371)</f>
        <v>6687.25</v>
      </c>
      <c r="L371" s="79"/>
      <c r="M371" s="79"/>
      <c r="N371" s="140">
        <f>K371*0.3</f>
        <v>2006.175</v>
      </c>
      <c r="O371" s="79"/>
      <c r="P371" s="104"/>
      <c r="Q371" s="80">
        <f>SUM(K371:P371)*C371</f>
        <v>19560.20625</v>
      </c>
      <c r="R371" s="105">
        <v>10</v>
      </c>
    </row>
    <row r="372" spans="1:18" ht="68.25" customHeight="1">
      <c r="A372" s="319">
        <v>4</v>
      </c>
      <c r="B372" s="364" t="s">
        <v>257</v>
      </c>
      <c r="C372" s="77">
        <v>1.75</v>
      </c>
      <c r="D372" s="78">
        <v>5527</v>
      </c>
      <c r="E372" s="79"/>
      <c r="F372" s="79"/>
      <c r="G372" s="79"/>
      <c r="H372" s="218">
        <f>D372*0.15</f>
        <v>829.05</v>
      </c>
      <c r="I372" s="79"/>
      <c r="J372" s="79"/>
      <c r="K372" s="79">
        <f>SUM(D372:J372)</f>
        <v>6356.05</v>
      </c>
      <c r="L372" s="79"/>
      <c r="M372" s="79"/>
      <c r="N372" s="140">
        <f>K372*0.2</f>
        <v>1271.21</v>
      </c>
      <c r="O372" s="79"/>
      <c r="P372" s="104"/>
      <c r="Q372" s="80">
        <f>SUM(K372:P372)*C372</f>
        <v>13347.705</v>
      </c>
      <c r="R372" s="105">
        <v>9</v>
      </c>
    </row>
    <row r="373" spans="1:18" ht="45.75" customHeight="1">
      <c r="A373" s="319">
        <v>5</v>
      </c>
      <c r="B373" s="328" t="s">
        <v>258</v>
      </c>
      <c r="C373" s="77">
        <v>2</v>
      </c>
      <c r="D373" s="79">
        <v>3770</v>
      </c>
      <c r="E373" s="79"/>
      <c r="F373" s="79"/>
      <c r="G373" s="79"/>
      <c r="H373" s="218">
        <f>D373*0.15</f>
        <v>565.5</v>
      </c>
      <c r="I373" s="79"/>
      <c r="J373" s="79"/>
      <c r="K373" s="79">
        <f>SUM(D373:J373)</f>
        <v>4335.5</v>
      </c>
      <c r="L373" s="79"/>
      <c r="M373" s="79"/>
      <c r="N373" s="79"/>
      <c r="O373" s="79"/>
      <c r="P373" s="104">
        <f>D373*10%</f>
        <v>377</v>
      </c>
      <c r="Q373" s="80">
        <f>SUM(K373:P373)*C373</f>
        <v>9425</v>
      </c>
      <c r="R373" s="105">
        <v>3</v>
      </c>
    </row>
    <row r="374" spans="1:18" ht="35.25" customHeight="1">
      <c r="A374" s="460" t="s">
        <v>32</v>
      </c>
      <c r="B374" s="461"/>
      <c r="C374" s="284">
        <f>SUM(C369:C373)</f>
        <v>9</v>
      </c>
      <c r="D374" s="330"/>
      <c r="E374" s="330"/>
      <c r="F374" s="330"/>
      <c r="G374" s="330"/>
      <c r="H374" s="330"/>
      <c r="I374" s="330"/>
      <c r="J374" s="330"/>
      <c r="K374" s="330"/>
      <c r="L374" s="330"/>
      <c r="M374" s="330"/>
      <c r="N374" s="330"/>
      <c r="O374" s="330"/>
      <c r="P374" s="330"/>
      <c r="Q374" s="381">
        <f>SUM(Q369:Q373)</f>
        <v>75946.93975</v>
      </c>
      <c r="R374" s="336"/>
    </row>
    <row r="375" spans="1:18" ht="44.25" customHeight="1">
      <c r="A375" s="106"/>
      <c r="B375" s="265" t="s">
        <v>184</v>
      </c>
      <c r="C375" s="69">
        <f>C369+C370</f>
        <v>3</v>
      </c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338">
        <f>Q369+Q370</f>
        <v>33614.0285</v>
      </c>
      <c r="R375" s="109"/>
    </row>
    <row r="376" spans="1:18" ht="36" customHeight="1">
      <c r="A376" s="106"/>
      <c r="B376" s="365" t="s">
        <v>199</v>
      </c>
      <c r="C376" s="69">
        <f>C371+C372</f>
        <v>4</v>
      </c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338">
        <f>Q371+Q372</f>
        <v>32907.91125</v>
      </c>
      <c r="R376" s="109"/>
    </row>
    <row r="377" spans="1:18" ht="39.75" customHeight="1">
      <c r="A377" s="106"/>
      <c r="B377" s="366" t="s">
        <v>107</v>
      </c>
      <c r="C377" s="69">
        <f>C373</f>
        <v>2</v>
      </c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338">
        <f>Q373</f>
        <v>9425</v>
      </c>
      <c r="R377" s="109"/>
    </row>
    <row r="378" spans="1:18" s="46" customFormat="1" ht="27" customHeight="1">
      <c r="A378" s="429" t="s">
        <v>259</v>
      </c>
      <c r="B378" s="429"/>
      <c r="C378" s="429"/>
      <c r="D378" s="429"/>
      <c r="E378" s="429"/>
      <c r="F378" s="429"/>
      <c r="G378" s="429"/>
      <c r="H378" s="429"/>
      <c r="I378" s="429"/>
      <c r="J378" s="429"/>
      <c r="K378" s="429"/>
      <c r="L378" s="429"/>
      <c r="M378" s="429"/>
      <c r="N378" s="429"/>
      <c r="O378" s="429"/>
      <c r="P378" s="429"/>
      <c r="Q378" s="429"/>
      <c r="R378" s="429"/>
    </row>
    <row r="379" spans="1:18" ht="37.5">
      <c r="A379" s="72">
        <v>1</v>
      </c>
      <c r="B379" s="73">
        <v>2</v>
      </c>
      <c r="C379" s="74">
        <v>3</v>
      </c>
      <c r="D379" s="73">
        <v>4</v>
      </c>
      <c r="E379" s="73">
        <v>5</v>
      </c>
      <c r="F379" s="73">
        <v>6</v>
      </c>
      <c r="G379" s="73">
        <v>7</v>
      </c>
      <c r="H379" s="73">
        <v>8</v>
      </c>
      <c r="I379" s="73">
        <v>9</v>
      </c>
      <c r="J379" s="73">
        <v>10</v>
      </c>
      <c r="K379" s="73">
        <v>11</v>
      </c>
      <c r="L379" s="73">
        <v>12</v>
      </c>
      <c r="M379" s="73">
        <v>13</v>
      </c>
      <c r="N379" s="73">
        <v>14</v>
      </c>
      <c r="O379" s="73">
        <v>15</v>
      </c>
      <c r="P379" s="73">
        <v>16</v>
      </c>
      <c r="Q379" s="73">
        <v>17</v>
      </c>
      <c r="R379" s="73">
        <v>18</v>
      </c>
    </row>
    <row r="380" spans="1:18" ht="64.5" customHeight="1">
      <c r="A380" s="182">
        <v>1</v>
      </c>
      <c r="B380" s="367" t="s">
        <v>260</v>
      </c>
      <c r="C380" s="100">
        <v>1</v>
      </c>
      <c r="D380" s="101">
        <v>7253</v>
      </c>
      <c r="E380" s="101"/>
      <c r="F380" s="101"/>
      <c r="G380" s="101"/>
      <c r="H380" s="101"/>
      <c r="I380" s="101"/>
      <c r="J380" s="101"/>
      <c r="K380" s="101">
        <f>SUM(D380:J380)</f>
        <v>7253</v>
      </c>
      <c r="L380" s="101"/>
      <c r="M380" s="101"/>
      <c r="N380" s="101">
        <f>K380*0.3</f>
        <v>2175.9</v>
      </c>
      <c r="O380" s="101"/>
      <c r="P380" s="215"/>
      <c r="Q380" s="127">
        <f>SUM(K380:P380)*C380</f>
        <v>9428.9</v>
      </c>
      <c r="R380" s="117">
        <v>13</v>
      </c>
    </row>
    <row r="381" spans="1:18" ht="97.5" customHeight="1">
      <c r="A381" s="319">
        <v>2</v>
      </c>
      <c r="B381" s="367" t="s">
        <v>261</v>
      </c>
      <c r="C381" s="100">
        <v>0.75</v>
      </c>
      <c r="D381" s="101">
        <v>5527</v>
      </c>
      <c r="E381" s="368"/>
      <c r="F381" s="368"/>
      <c r="G381" s="368"/>
      <c r="H381" s="368"/>
      <c r="I381" s="368"/>
      <c r="J381" s="368"/>
      <c r="K381" s="101">
        <f>SUM(D381:J381)</f>
        <v>5527</v>
      </c>
      <c r="L381" s="368"/>
      <c r="M381" s="368"/>
      <c r="N381" s="101">
        <f>K381*0.3</f>
        <v>1658.1</v>
      </c>
      <c r="O381" s="368"/>
      <c r="P381" s="373"/>
      <c r="Q381" s="308">
        <f>SUM(K381:P381)*C381</f>
        <v>5388.825000000001</v>
      </c>
      <c r="R381" s="382">
        <v>9</v>
      </c>
    </row>
    <row r="382" spans="1:18" ht="48" customHeight="1">
      <c r="A382" s="452" t="s">
        <v>32</v>
      </c>
      <c r="B382" s="453"/>
      <c r="C382" s="329">
        <f>C380+C381</f>
        <v>1.75</v>
      </c>
      <c r="D382" s="369"/>
      <c r="E382" s="369"/>
      <c r="F382" s="369"/>
      <c r="G382" s="369"/>
      <c r="H382" s="369"/>
      <c r="I382" s="369"/>
      <c r="J382" s="369"/>
      <c r="K382" s="369"/>
      <c r="L382" s="369"/>
      <c r="M382" s="369"/>
      <c r="N382" s="369"/>
      <c r="O382" s="369"/>
      <c r="P382" s="369"/>
      <c r="Q382" s="381">
        <f>Q380+Q381</f>
        <v>14817.725</v>
      </c>
      <c r="R382" s="375"/>
    </row>
    <row r="383" spans="1:18" ht="36" customHeight="1">
      <c r="A383" s="351"/>
      <c r="B383" s="288" t="s">
        <v>184</v>
      </c>
      <c r="C383" s="69">
        <f>C380</f>
        <v>1</v>
      </c>
      <c r="D383" s="351"/>
      <c r="E383" s="351"/>
      <c r="F383" s="351"/>
      <c r="G383" s="351"/>
      <c r="H383" s="351"/>
      <c r="I383" s="351"/>
      <c r="J383" s="351"/>
      <c r="K383" s="351"/>
      <c r="L383" s="351"/>
      <c r="M383" s="351"/>
      <c r="N383" s="351"/>
      <c r="O383" s="351"/>
      <c r="P383" s="351"/>
      <c r="Q383" s="383">
        <f>Q380</f>
        <v>9428.9</v>
      </c>
      <c r="R383" s="351"/>
    </row>
    <row r="384" spans="1:18" ht="36" customHeight="1">
      <c r="A384" s="351"/>
      <c r="B384" s="288" t="s">
        <v>199</v>
      </c>
      <c r="C384" s="69">
        <f>C381</f>
        <v>0.75</v>
      </c>
      <c r="D384" s="351"/>
      <c r="E384" s="351"/>
      <c r="F384" s="351"/>
      <c r="G384" s="351"/>
      <c r="H384" s="351"/>
      <c r="I384" s="351"/>
      <c r="J384" s="351"/>
      <c r="K384" s="351"/>
      <c r="L384" s="351"/>
      <c r="M384" s="351"/>
      <c r="N384" s="351"/>
      <c r="O384" s="351"/>
      <c r="P384" s="351"/>
      <c r="Q384" s="384">
        <f>Q381</f>
        <v>5388.825000000001</v>
      </c>
      <c r="R384" s="351"/>
    </row>
    <row r="385" spans="1:18" s="45" customFormat="1" ht="39" customHeight="1">
      <c r="A385" s="454" t="s">
        <v>262</v>
      </c>
      <c r="B385" s="454"/>
      <c r="C385" s="454"/>
      <c r="D385" s="454"/>
      <c r="E385" s="454"/>
      <c r="F385" s="454"/>
      <c r="G385" s="454"/>
      <c r="H385" s="454"/>
      <c r="I385" s="454"/>
      <c r="J385" s="454"/>
      <c r="K385" s="454"/>
      <c r="L385" s="454"/>
      <c r="M385" s="454"/>
      <c r="N385" s="454"/>
      <c r="O385" s="454"/>
      <c r="P385" s="454"/>
      <c r="Q385" s="454"/>
      <c r="R385" s="454"/>
    </row>
    <row r="386" spans="1:18" ht="37.5">
      <c r="A386" s="72">
        <v>1</v>
      </c>
      <c r="B386" s="73">
        <v>2</v>
      </c>
      <c r="C386" s="74">
        <v>3</v>
      </c>
      <c r="D386" s="73">
        <v>4</v>
      </c>
      <c r="E386" s="73">
        <v>5</v>
      </c>
      <c r="F386" s="73">
        <v>6</v>
      </c>
      <c r="G386" s="73">
        <v>7</v>
      </c>
      <c r="H386" s="73">
        <v>8</v>
      </c>
      <c r="I386" s="73">
        <v>9</v>
      </c>
      <c r="J386" s="73">
        <v>10</v>
      </c>
      <c r="K386" s="73">
        <v>11</v>
      </c>
      <c r="L386" s="73">
        <v>12</v>
      </c>
      <c r="M386" s="73">
        <v>13</v>
      </c>
      <c r="N386" s="73">
        <v>14</v>
      </c>
      <c r="O386" s="73">
        <v>15</v>
      </c>
      <c r="P386" s="73">
        <v>16</v>
      </c>
      <c r="Q386" s="73">
        <v>17</v>
      </c>
      <c r="R386" s="73">
        <v>18</v>
      </c>
    </row>
    <row r="387" spans="1:18" ht="79.5" customHeight="1">
      <c r="A387" s="182">
        <v>1</v>
      </c>
      <c r="B387" s="328" t="s">
        <v>263</v>
      </c>
      <c r="C387" s="77">
        <v>1</v>
      </c>
      <c r="D387" s="79">
        <v>6773</v>
      </c>
      <c r="E387" s="141">
        <f>D387*0.1</f>
        <v>677.3000000000001</v>
      </c>
      <c r="F387" s="79"/>
      <c r="G387" s="79"/>
      <c r="H387" s="79">
        <f>(D387+E387)*0.15</f>
        <v>1117.545</v>
      </c>
      <c r="I387" s="79"/>
      <c r="J387" s="79"/>
      <c r="K387" s="79">
        <f aca="true" t="shared" si="34" ref="K387:K393">SUM(D387:J387)</f>
        <v>8567.845000000001</v>
      </c>
      <c r="L387" s="79"/>
      <c r="M387" s="79"/>
      <c r="N387" s="79">
        <f>K387*0.2</f>
        <v>1713.5690000000004</v>
      </c>
      <c r="O387" s="104"/>
      <c r="P387" s="104"/>
      <c r="Q387" s="80">
        <f aca="true" t="shared" si="35" ref="Q387:Q393">SUM(K387:P387)*C387</f>
        <v>10281.414</v>
      </c>
      <c r="R387" s="105">
        <v>12</v>
      </c>
    </row>
    <row r="388" spans="1:18" ht="99" customHeight="1">
      <c r="A388" s="182">
        <v>2</v>
      </c>
      <c r="B388" s="328" t="s">
        <v>264</v>
      </c>
      <c r="C388" s="77">
        <v>1</v>
      </c>
      <c r="D388" s="79">
        <v>5815</v>
      </c>
      <c r="E388" s="79"/>
      <c r="F388" s="79"/>
      <c r="G388" s="79"/>
      <c r="H388" s="79">
        <f aca="true" t="shared" si="36" ref="H388:H393">D388*0.15</f>
        <v>872.25</v>
      </c>
      <c r="I388" s="79"/>
      <c r="J388" s="79"/>
      <c r="K388" s="79">
        <f t="shared" si="34"/>
        <v>6687.25</v>
      </c>
      <c r="L388" s="79"/>
      <c r="M388" s="79"/>
      <c r="N388" s="79">
        <f>K388*0.1</f>
        <v>668.725</v>
      </c>
      <c r="O388" s="104"/>
      <c r="P388" s="104"/>
      <c r="Q388" s="80">
        <f t="shared" si="35"/>
        <v>7355.975</v>
      </c>
      <c r="R388" s="105">
        <v>10</v>
      </c>
    </row>
    <row r="389" spans="1:18" ht="42.75" customHeight="1">
      <c r="A389" s="182">
        <v>3</v>
      </c>
      <c r="B389" s="328" t="s">
        <v>265</v>
      </c>
      <c r="C389" s="77">
        <v>0.5</v>
      </c>
      <c r="D389" s="79">
        <v>6773</v>
      </c>
      <c r="E389" s="79"/>
      <c r="F389" s="79"/>
      <c r="G389" s="79"/>
      <c r="H389" s="79">
        <f t="shared" si="36"/>
        <v>1015.9499999999999</v>
      </c>
      <c r="I389" s="79"/>
      <c r="J389" s="79"/>
      <c r="K389" s="79">
        <f t="shared" si="34"/>
        <v>7788.95</v>
      </c>
      <c r="L389" s="79"/>
      <c r="M389" s="79"/>
      <c r="N389" s="79">
        <f>K389*0.2</f>
        <v>1557.79</v>
      </c>
      <c r="O389" s="104"/>
      <c r="P389" s="104"/>
      <c r="Q389" s="80">
        <f t="shared" si="35"/>
        <v>4673.37</v>
      </c>
      <c r="R389" s="105">
        <v>12</v>
      </c>
    </row>
    <row r="390" spans="1:18" ht="39.75" customHeight="1">
      <c r="A390" s="182">
        <v>4</v>
      </c>
      <c r="B390" s="328" t="s">
        <v>266</v>
      </c>
      <c r="C390" s="77">
        <v>3</v>
      </c>
      <c r="D390" s="79">
        <v>5527</v>
      </c>
      <c r="E390" s="79"/>
      <c r="F390" s="79"/>
      <c r="G390" s="79"/>
      <c r="H390" s="79">
        <f t="shared" si="36"/>
        <v>829.05</v>
      </c>
      <c r="I390" s="79"/>
      <c r="J390" s="79"/>
      <c r="K390" s="79">
        <f t="shared" si="34"/>
        <v>6356.05</v>
      </c>
      <c r="L390" s="79"/>
      <c r="M390" s="79"/>
      <c r="N390" s="79">
        <f>K390*0.3</f>
        <v>1906.815</v>
      </c>
      <c r="O390" s="104"/>
      <c r="P390" s="104"/>
      <c r="Q390" s="80">
        <f t="shared" si="35"/>
        <v>24788.595</v>
      </c>
      <c r="R390" s="105">
        <v>9</v>
      </c>
    </row>
    <row r="391" spans="1:18" ht="42" customHeight="1">
      <c r="A391" s="182">
        <v>5</v>
      </c>
      <c r="B391" s="328" t="s">
        <v>267</v>
      </c>
      <c r="C391" s="77">
        <v>1</v>
      </c>
      <c r="D391" s="79">
        <v>4920</v>
      </c>
      <c r="E391" s="79"/>
      <c r="F391" s="79"/>
      <c r="G391" s="79"/>
      <c r="H391" s="79">
        <f t="shared" si="36"/>
        <v>738</v>
      </c>
      <c r="I391" s="79"/>
      <c r="J391" s="79"/>
      <c r="K391" s="79">
        <f t="shared" si="34"/>
        <v>5658</v>
      </c>
      <c r="L391" s="79"/>
      <c r="M391" s="79"/>
      <c r="N391" s="79">
        <f>K391*0.3</f>
        <v>1697.3999999999999</v>
      </c>
      <c r="O391" s="104"/>
      <c r="P391" s="104"/>
      <c r="Q391" s="397">
        <f t="shared" si="35"/>
        <v>7355.4</v>
      </c>
      <c r="R391" s="105">
        <v>7</v>
      </c>
    </row>
    <row r="392" spans="1:18" ht="42" customHeight="1">
      <c r="A392" s="182">
        <v>6</v>
      </c>
      <c r="B392" s="328" t="s">
        <v>268</v>
      </c>
      <c r="C392" s="77">
        <v>1.5</v>
      </c>
      <c r="D392" s="79">
        <v>4633</v>
      </c>
      <c r="E392" s="79"/>
      <c r="F392" s="79"/>
      <c r="G392" s="79"/>
      <c r="H392" s="79">
        <f t="shared" si="36"/>
        <v>694.9499999999999</v>
      </c>
      <c r="I392" s="79"/>
      <c r="J392" s="79"/>
      <c r="K392" s="79">
        <f t="shared" si="34"/>
        <v>5327.95</v>
      </c>
      <c r="L392" s="79"/>
      <c r="M392" s="79"/>
      <c r="N392" s="79">
        <f>K392*0.2</f>
        <v>1065.59</v>
      </c>
      <c r="O392" s="104"/>
      <c r="P392" s="104"/>
      <c r="Q392" s="397">
        <f t="shared" si="35"/>
        <v>9590.31</v>
      </c>
      <c r="R392" s="105">
        <v>6</v>
      </c>
    </row>
    <row r="393" spans="1:18" ht="30" customHeight="1">
      <c r="A393" s="182">
        <v>7</v>
      </c>
      <c r="B393" s="328" t="s">
        <v>252</v>
      </c>
      <c r="C393" s="100">
        <v>1</v>
      </c>
      <c r="D393" s="101">
        <v>3770</v>
      </c>
      <c r="E393" s="101"/>
      <c r="F393" s="101"/>
      <c r="G393" s="101"/>
      <c r="H393" s="79">
        <f t="shared" si="36"/>
        <v>565.5</v>
      </c>
      <c r="I393" s="101"/>
      <c r="J393" s="101"/>
      <c r="K393" s="101">
        <f t="shared" si="34"/>
        <v>4335.5</v>
      </c>
      <c r="L393" s="101"/>
      <c r="M393" s="101"/>
      <c r="N393" s="101"/>
      <c r="O393" s="215"/>
      <c r="P393" s="215">
        <f>D393*10%</f>
        <v>377</v>
      </c>
      <c r="Q393" s="127">
        <f t="shared" si="35"/>
        <v>4712.5</v>
      </c>
      <c r="R393" s="105">
        <v>3</v>
      </c>
    </row>
    <row r="394" spans="1:18" ht="36" customHeight="1">
      <c r="A394" s="455" t="s">
        <v>32</v>
      </c>
      <c r="B394" s="456"/>
      <c r="C394" s="92">
        <f>SUM(C387:C393)</f>
        <v>9</v>
      </c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215"/>
      <c r="P394" s="215"/>
      <c r="Q394" s="398">
        <f>Q387+Q388+Q389+Q390+Q391+Q393+Q392</f>
        <v>68757.56400000001</v>
      </c>
      <c r="R394" s="105"/>
    </row>
    <row r="395" spans="1:18" ht="20.25" customHeight="1">
      <c r="A395" s="385"/>
      <c r="B395" s="385"/>
      <c r="C395" s="69"/>
      <c r="D395" s="351"/>
      <c r="E395" s="351"/>
      <c r="F395" s="351"/>
      <c r="G395" s="351"/>
      <c r="H395" s="351"/>
      <c r="I395" s="351"/>
      <c r="J395" s="351"/>
      <c r="K395" s="351"/>
      <c r="L395" s="351"/>
      <c r="M395" s="351"/>
      <c r="N395" s="351"/>
      <c r="O395" s="351"/>
      <c r="P395" s="351"/>
      <c r="Q395" s="338"/>
      <c r="R395" s="109"/>
    </row>
    <row r="396" spans="1:18" ht="27.75" customHeight="1">
      <c r="A396" s="385"/>
      <c r="B396" s="386" t="s">
        <v>184</v>
      </c>
      <c r="C396" s="69">
        <v>2.5</v>
      </c>
      <c r="D396" s="351"/>
      <c r="E396" s="351"/>
      <c r="F396" s="351"/>
      <c r="G396" s="351"/>
      <c r="H396" s="351"/>
      <c r="I396" s="351"/>
      <c r="J396" s="351"/>
      <c r="K396" s="351"/>
      <c r="L396" s="351"/>
      <c r="M396" s="351"/>
      <c r="N396" s="351"/>
      <c r="O396" s="351"/>
      <c r="P396" s="351"/>
      <c r="Q396" s="378">
        <f>Q387+Q388+Q389</f>
        <v>22310.759000000002</v>
      </c>
      <c r="R396" s="109"/>
    </row>
    <row r="397" spans="1:18" ht="35.25" customHeight="1">
      <c r="A397" s="385"/>
      <c r="B397" s="386" t="s">
        <v>199</v>
      </c>
      <c r="C397" s="69">
        <f>C390+C391+C392</f>
        <v>5.5</v>
      </c>
      <c r="D397" s="351"/>
      <c r="E397" s="351"/>
      <c r="F397" s="351"/>
      <c r="G397" s="351"/>
      <c r="H397" s="351"/>
      <c r="I397" s="351"/>
      <c r="J397" s="351"/>
      <c r="K397" s="351"/>
      <c r="L397" s="351"/>
      <c r="M397" s="351"/>
      <c r="N397" s="351"/>
      <c r="O397" s="351"/>
      <c r="P397" s="351"/>
      <c r="Q397" s="378">
        <f>Q390+Q391+Q392</f>
        <v>41734.305</v>
      </c>
      <c r="R397" s="109"/>
    </row>
    <row r="398" spans="1:18" ht="35.25" customHeight="1">
      <c r="A398" s="385"/>
      <c r="B398" s="386" t="s">
        <v>107</v>
      </c>
      <c r="C398" s="69">
        <f>C393</f>
        <v>1</v>
      </c>
      <c r="D398" s="351"/>
      <c r="E398" s="351"/>
      <c r="F398" s="351"/>
      <c r="G398" s="351"/>
      <c r="H398" s="351"/>
      <c r="I398" s="351"/>
      <c r="J398" s="351"/>
      <c r="K398" s="351"/>
      <c r="L398" s="351"/>
      <c r="M398" s="351"/>
      <c r="N398" s="351"/>
      <c r="O398" s="351"/>
      <c r="P398" s="351"/>
      <c r="Q398" s="378">
        <f>Q393</f>
        <v>4712.5</v>
      </c>
      <c r="R398" s="109"/>
    </row>
    <row r="399" spans="1:18" ht="3" customHeight="1">
      <c r="A399" s="147"/>
      <c r="B399" s="148"/>
      <c r="C399" s="149"/>
      <c r="D399" s="148"/>
      <c r="E399" s="148"/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70"/>
    </row>
    <row r="400" spans="1:18" ht="45.75" customHeight="1" hidden="1">
      <c r="A400" s="148"/>
      <c r="B400" s="148"/>
      <c r="C400" s="149"/>
      <c r="D400" s="147"/>
      <c r="E400" s="148"/>
      <c r="F400" s="147"/>
      <c r="G400" s="148"/>
      <c r="H400" s="148"/>
      <c r="I400" s="148"/>
      <c r="J400" s="148"/>
      <c r="K400" s="148"/>
      <c r="L400" s="148"/>
      <c r="M400" s="148"/>
      <c r="N400" s="148"/>
      <c r="O400" s="148"/>
      <c r="P400" s="147"/>
      <c r="Q400" s="147"/>
      <c r="R400" s="70"/>
    </row>
    <row r="401" spans="1:18" ht="45.75" customHeight="1" hidden="1">
      <c r="A401" s="148"/>
      <c r="B401" s="133"/>
      <c r="C401" s="205"/>
      <c r="D401" s="147"/>
      <c r="E401" s="148"/>
      <c r="F401" s="147"/>
      <c r="G401" s="148"/>
      <c r="H401" s="148"/>
      <c r="I401" s="148"/>
      <c r="J401" s="148"/>
      <c r="K401" s="148"/>
      <c r="L401" s="148"/>
      <c r="M401" s="148"/>
      <c r="N401" s="148"/>
      <c r="O401" s="148"/>
      <c r="P401" s="147"/>
      <c r="Q401" s="399"/>
      <c r="R401" s="70"/>
    </row>
    <row r="402" spans="1:18" ht="45.75" customHeight="1" hidden="1">
      <c r="A402" s="148"/>
      <c r="B402" s="133"/>
      <c r="C402" s="359"/>
      <c r="D402" s="370"/>
      <c r="E402" s="370"/>
      <c r="F402" s="370"/>
      <c r="G402" s="370"/>
      <c r="H402" s="370"/>
      <c r="I402" s="370"/>
      <c r="J402" s="370"/>
      <c r="K402" s="370"/>
      <c r="L402" s="370"/>
      <c r="M402" s="370"/>
      <c r="N402" s="370"/>
      <c r="O402" s="370"/>
      <c r="P402" s="370"/>
      <c r="Q402" s="400"/>
      <c r="R402" s="70"/>
    </row>
    <row r="403" spans="1:18" ht="45.75" customHeight="1" hidden="1">
      <c r="A403" s="148"/>
      <c r="B403" s="133"/>
      <c r="C403" s="359"/>
      <c r="D403" s="264"/>
      <c r="E403" s="264"/>
      <c r="F403" s="264"/>
      <c r="G403" s="264"/>
      <c r="H403" s="264"/>
      <c r="I403" s="264"/>
      <c r="J403" s="264"/>
      <c r="K403" s="264"/>
      <c r="L403" s="264"/>
      <c r="M403" s="264"/>
      <c r="N403" s="264"/>
      <c r="O403" s="264"/>
      <c r="P403" s="264"/>
      <c r="Q403" s="401"/>
      <c r="R403" s="70"/>
    </row>
    <row r="404" spans="1:18" ht="45.75" customHeight="1" hidden="1">
      <c r="A404" s="148"/>
      <c r="B404" s="133"/>
      <c r="C404" s="205"/>
      <c r="D404" s="370"/>
      <c r="E404" s="370"/>
      <c r="F404" s="370"/>
      <c r="G404" s="370"/>
      <c r="H404" s="370"/>
      <c r="I404" s="370"/>
      <c r="J404" s="370"/>
      <c r="K404" s="370"/>
      <c r="L404" s="370"/>
      <c r="M404" s="370"/>
      <c r="N404" s="370"/>
      <c r="O404" s="370"/>
      <c r="P404" s="370"/>
      <c r="Q404" s="305"/>
      <c r="R404" s="70"/>
    </row>
    <row r="405" spans="1:18" ht="45.75" customHeight="1" hidden="1">
      <c r="A405" s="372"/>
      <c r="B405" s="133"/>
      <c r="C405" s="205"/>
      <c r="D405" s="387"/>
      <c r="E405" s="387"/>
      <c r="F405" s="387"/>
      <c r="G405" s="387"/>
      <c r="H405" s="387"/>
      <c r="I405" s="387"/>
      <c r="J405" s="387"/>
      <c r="K405" s="387"/>
      <c r="L405" s="387"/>
      <c r="M405" s="387"/>
      <c r="N405" s="387"/>
      <c r="O405" s="387"/>
      <c r="P405" s="387"/>
      <c r="Q405" s="387"/>
      <c r="R405" s="70"/>
    </row>
    <row r="406" spans="1:18" ht="45.75" customHeight="1" hidden="1">
      <c r="A406" s="372"/>
      <c r="B406" s="133"/>
      <c r="C406" s="205"/>
      <c r="D406" s="148"/>
      <c r="E406" s="148"/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370"/>
      <c r="R406" s="70"/>
    </row>
    <row r="407" spans="1:18" ht="45.75" customHeight="1">
      <c r="A407" s="457" t="s">
        <v>269</v>
      </c>
      <c r="B407" s="458"/>
      <c r="C407" s="458"/>
      <c r="D407" s="458"/>
      <c r="E407" s="458"/>
      <c r="F407" s="458"/>
      <c r="G407" s="458"/>
      <c r="H407" s="458"/>
      <c r="I407" s="458"/>
      <c r="J407" s="458"/>
      <c r="K407" s="458"/>
      <c r="L407" s="458"/>
      <c r="M407" s="458"/>
      <c r="N407" s="458"/>
      <c r="O407" s="458"/>
      <c r="P407" s="458"/>
      <c r="Q407" s="458"/>
      <c r="R407" s="458"/>
    </row>
    <row r="408" spans="1:18" ht="45.75" customHeight="1">
      <c r="A408" s="72">
        <v>1</v>
      </c>
      <c r="B408" s="73">
        <v>2</v>
      </c>
      <c r="C408" s="74">
        <v>3</v>
      </c>
      <c r="D408" s="73">
        <v>4</v>
      </c>
      <c r="E408" s="73">
        <v>5</v>
      </c>
      <c r="F408" s="73">
        <v>6</v>
      </c>
      <c r="G408" s="73">
        <v>7</v>
      </c>
      <c r="H408" s="73">
        <v>8</v>
      </c>
      <c r="I408" s="73">
        <v>9</v>
      </c>
      <c r="J408" s="73">
        <v>10</v>
      </c>
      <c r="K408" s="73">
        <v>11</v>
      </c>
      <c r="L408" s="73">
        <v>12</v>
      </c>
      <c r="M408" s="73">
        <v>13</v>
      </c>
      <c r="N408" s="73">
        <v>14</v>
      </c>
      <c r="O408" s="73">
        <v>15</v>
      </c>
      <c r="P408" s="73">
        <v>16</v>
      </c>
      <c r="Q408" s="73">
        <v>17</v>
      </c>
      <c r="R408" s="73">
        <v>18</v>
      </c>
    </row>
    <row r="409" spans="1:18" ht="123" customHeight="1">
      <c r="A409" s="137">
        <v>1</v>
      </c>
      <c r="B409" s="388" t="s">
        <v>270</v>
      </c>
      <c r="C409" s="250">
        <v>1</v>
      </c>
      <c r="D409" s="127">
        <v>7253</v>
      </c>
      <c r="E409" s="118">
        <f>D409*20%</f>
        <v>1450.6000000000001</v>
      </c>
      <c r="F409" s="118"/>
      <c r="G409" s="118"/>
      <c r="H409" s="118"/>
      <c r="I409" s="118"/>
      <c r="J409" s="118"/>
      <c r="K409" s="127">
        <f>D409+E409+F409+G409+H409+I409+J409</f>
        <v>8703.6</v>
      </c>
      <c r="L409" s="118"/>
      <c r="M409" s="118"/>
      <c r="N409" s="118">
        <f>K409*30%</f>
        <v>2611.08</v>
      </c>
      <c r="O409" s="118"/>
      <c r="P409" s="118"/>
      <c r="Q409" s="402">
        <f>(K409+L409+M409+N409+P409)*C409</f>
        <v>11314.68</v>
      </c>
      <c r="R409" s="121">
        <v>13</v>
      </c>
    </row>
    <row r="410" spans="1:18" ht="123" customHeight="1">
      <c r="A410" s="137">
        <v>2</v>
      </c>
      <c r="B410" s="87" t="s">
        <v>325</v>
      </c>
      <c r="C410" s="250">
        <v>1</v>
      </c>
      <c r="D410" s="79">
        <v>6773</v>
      </c>
      <c r="E410" s="82"/>
      <c r="F410" s="185">
        <f>D410*10%</f>
        <v>677.3000000000001</v>
      </c>
      <c r="G410" s="89"/>
      <c r="H410" s="89">
        <f>D410*0.15</f>
        <v>1015.9499999999999</v>
      </c>
      <c r="I410" s="89"/>
      <c r="J410" s="89"/>
      <c r="K410" s="79">
        <f>SUM(D410:J410)</f>
        <v>8466.25</v>
      </c>
      <c r="L410" s="89"/>
      <c r="M410" s="89"/>
      <c r="N410" s="193">
        <f>K410*30%</f>
        <v>2539.875</v>
      </c>
      <c r="O410" s="184"/>
      <c r="P410" s="217"/>
      <c r="Q410" s="80">
        <f>SUM(K410:P410)*C410</f>
        <v>11006.125</v>
      </c>
      <c r="R410" s="105">
        <v>12</v>
      </c>
    </row>
    <row r="411" spans="1:18" ht="69.75" customHeight="1">
      <c r="A411" s="137">
        <v>3</v>
      </c>
      <c r="B411" s="388" t="s">
        <v>271</v>
      </c>
      <c r="C411" s="250">
        <v>0.25</v>
      </c>
      <c r="D411" s="127">
        <v>7253</v>
      </c>
      <c r="E411" s="118"/>
      <c r="F411" s="118"/>
      <c r="G411" s="118"/>
      <c r="H411" s="118"/>
      <c r="I411" s="118"/>
      <c r="J411" s="118"/>
      <c r="K411" s="127">
        <f aca="true" t="shared" si="37" ref="K411:K417">D411+E411+F411+G411+H411+I411+J411</f>
        <v>7253</v>
      </c>
      <c r="L411" s="118"/>
      <c r="M411" s="118"/>
      <c r="N411" s="118">
        <f>K411*20%</f>
        <v>1450.6000000000001</v>
      </c>
      <c r="O411" s="118"/>
      <c r="P411" s="118"/>
      <c r="Q411" s="402">
        <f aca="true" t="shared" si="38" ref="Q411:Q417">(K411+L411+M411+N411+P411)*C411</f>
        <v>2175.9</v>
      </c>
      <c r="R411" s="121">
        <v>13</v>
      </c>
    </row>
    <row r="412" spans="1:18" ht="69.75" customHeight="1">
      <c r="A412" s="137">
        <v>4</v>
      </c>
      <c r="B412" s="76" t="s">
        <v>328</v>
      </c>
      <c r="C412" s="58">
        <v>0.5</v>
      </c>
      <c r="D412" s="79">
        <v>6294</v>
      </c>
      <c r="E412" s="89"/>
      <c r="F412" s="185">
        <f>D412*10%</f>
        <v>629.4000000000001</v>
      </c>
      <c r="G412" s="89"/>
      <c r="H412" s="89"/>
      <c r="I412" s="89"/>
      <c r="J412" s="89"/>
      <c r="K412" s="79">
        <f>SUM(D412:J412)</f>
        <v>6923.4</v>
      </c>
      <c r="L412" s="89"/>
      <c r="M412" s="89"/>
      <c r="N412" s="193">
        <f>K412*30%</f>
        <v>2077.02</v>
      </c>
      <c r="O412" s="184"/>
      <c r="P412" s="217"/>
      <c r="Q412" s="80">
        <f>SUM(K412:P412)*C412</f>
        <v>4500.21</v>
      </c>
      <c r="R412" s="105">
        <v>11</v>
      </c>
    </row>
    <row r="413" spans="1:18" ht="117" customHeight="1">
      <c r="A413" s="137">
        <v>5</v>
      </c>
      <c r="B413" s="388" t="s">
        <v>272</v>
      </c>
      <c r="C413" s="250">
        <v>0.5</v>
      </c>
      <c r="D413" s="127">
        <v>5815</v>
      </c>
      <c r="E413" s="118"/>
      <c r="F413" s="118"/>
      <c r="G413" s="118"/>
      <c r="H413" s="118"/>
      <c r="I413" s="118"/>
      <c r="J413" s="118"/>
      <c r="K413" s="127">
        <f t="shared" si="37"/>
        <v>5815</v>
      </c>
      <c r="L413" s="118"/>
      <c r="M413" s="118"/>
      <c r="N413" s="118">
        <f>K413*30%</f>
        <v>1744.5</v>
      </c>
      <c r="O413" s="118"/>
      <c r="P413" s="118"/>
      <c r="Q413" s="402">
        <f t="shared" si="38"/>
        <v>3779.75</v>
      </c>
      <c r="R413" s="121">
        <v>10</v>
      </c>
    </row>
    <row r="414" spans="1:18" ht="120.75" customHeight="1">
      <c r="A414" s="137">
        <v>6</v>
      </c>
      <c r="B414" s="388" t="s">
        <v>273</v>
      </c>
      <c r="C414" s="250">
        <v>1</v>
      </c>
      <c r="D414" s="127">
        <v>5815</v>
      </c>
      <c r="E414" s="118"/>
      <c r="F414" s="118"/>
      <c r="G414" s="118"/>
      <c r="H414" s="118"/>
      <c r="I414" s="118"/>
      <c r="J414" s="118"/>
      <c r="K414" s="127">
        <f t="shared" si="37"/>
        <v>5815</v>
      </c>
      <c r="L414" s="118"/>
      <c r="M414" s="118"/>
      <c r="N414" s="118">
        <f>K414*30%</f>
        <v>1744.5</v>
      </c>
      <c r="O414" s="118"/>
      <c r="P414" s="118"/>
      <c r="Q414" s="402">
        <f t="shared" si="38"/>
        <v>7559.5</v>
      </c>
      <c r="R414" s="121">
        <v>10</v>
      </c>
    </row>
    <row r="415" spans="1:18" ht="123" customHeight="1">
      <c r="A415" s="137">
        <v>7</v>
      </c>
      <c r="B415" s="388" t="s">
        <v>274</v>
      </c>
      <c r="C415" s="250">
        <v>5.5</v>
      </c>
      <c r="D415" s="127">
        <v>5815</v>
      </c>
      <c r="E415" s="118"/>
      <c r="F415" s="118"/>
      <c r="G415" s="118"/>
      <c r="H415" s="118"/>
      <c r="I415" s="118"/>
      <c r="J415" s="118"/>
      <c r="K415" s="127">
        <f t="shared" si="37"/>
        <v>5815</v>
      </c>
      <c r="L415" s="118"/>
      <c r="M415" s="118"/>
      <c r="N415" s="118">
        <f>K415*30%</f>
        <v>1744.5</v>
      </c>
      <c r="O415" s="118"/>
      <c r="P415" s="118"/>
      <c r="Q415" s="402">
        <f t="shared" si="38"/>
        <v>41577.25</v>
      </c>
      <c r="R415" s="121">
        <v>10</v>
      </c>
    </row>
    <row r="416" spans="1:18" ht="100.5" customHeight="1">
      <c r="A416" s="137">
        <v>8</v>
      </c>
      <c r="B416" s="388" t="s">
        <v>275</v>
      </c>
      <c r="C416" s="250">
        <v>1</v>
      </c>
      <c r="D416" s="127">
        <v>4058</v>
      </c>
      <c r="E416" s="118"/>
      <c r="F416" s="118"/>
      <c r="G416" s="118"/>
      <c r="H416" s="118"/>
      <c r="I416" s="118"/>
      <c r="J416" s="118"/>
      <c r="K416" s="127">
        <f t="shared" si="37"/>
        <v>4058</v>
      </c>
      <c r="L416" s="118"/>
      <c r="M416" s="118"/>
      <c r="N416" s="118"/>
      <c r="O416" s="118"/>
      <c r="P416" s="118"/>
      <c r="Q416" s="402">
        <f t="shared" si="38"/>
        <v>4058</v>
      </c>
      <c r="R416" s="121">
        <v>4</v>
      </c>
    </row>
    <row r="417" spans="1:18" ht="108.75" customHeight="1">
      <c r="A417" s="137">
        <v>9</v>
      </c>
      <c r="B417" s="388" t="s">
        <v>276</v>
      </c>
      <c r="C417" s="250">
        <v>1.5</v>
      </c>
      <c r="D417" s="127">
        <v>4058</v>
      </c>
      <c r="E417" s="118"/>
      <c r="F417" s="118"/>
      <c r="G417" s="118"/>
      <c r="H417" s="118"/>
      <c r="I417" s="118"/>
      <c r="J417" s="118"/>
      <c r="K417" s="127">
        <f t="shared" si="37"/>
        <v>4058</v>
      </c>
      <c r="L417" s="118"/>
      <c r="M417" s="118"/>
      <c r="N417" s="118"/>
      <c r="O417" s="395"/>
      <c r="P417" s="118">
        <f>K417*0.1</f>
        <v>405.8</v>
      </c>
      <c r="Q417" s="402">
        <f t="shared" si="38"/>
        <v>6695.700000000001</v>
      </c>
      <c r="R417" s="121">
        <v>4</v>
      </c>
    </row>
    <row r="418" spans="1:18" ht="45.75" customHeight="1">
      <c r="A418" s="137"/>
      <c r="B418" s="61"/>
      <c r="C418" s="62">
        <f>SUM(C409:C417)</f>
        <v>12.25</v>
      </c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403">
        <f>Q409+Q411+Q413+Q414+Q415+Q416+Q417</f>
        <v>77160.78</v>
      </c>
      <c r="R418" s="121"/>
    </row>
    <row r="419" spans="1:18" ht="43.5" customHeight="1">
      <c r="A419" s="385"/>
      <c r="B419" s="386" t="s">
        <v>184</v>
      </c>
      <c r="C419" s="69">
        <f>C409+C411+C410+C412</f>
        <v>2.75</v>
      </c>
      <c r="D419" s="351"/>
      <c r="E419" s="351"/>
      <c r="F419" s="351"/>
      <c r="G419" s="351"/>
      <c r="H419" s="351"/>
      <c r="I419" s="351"/>
      <c r="J419" s="351"/>
      <c r="K419" s="351"/>
      <c r="L419" s="351"/>
      <c r="M419" s="351"/>
      <c r="N419" s="351"/>
      <c r="O419" s="351"/>
      <c r="P419" s="351"/>
      <c r="Q419" s="404">
        <f>Q409+Q411</f>
        <v>13490.58</v>
      </c>
      <c r="R419" s="109"/>
    </row>
    <row r="420" spans="1:18" ht="43.5" customHeight="1">
      <c r="A420" s="385"/>
      <c r="B420" s="386" t="s">
        <v>199</v>
      </c>
      <c r="C420" s="69">
        <f>C413+C414+C415</f>
        <v>7</v>
      </c>
      <c r="D420" s="351"/>
      <c r="E420" s="351"/>
      <c r="F420" s="351"/>
      <c r="G420" s="351"/>
      <c r="H420" s="351"/>
      <c r="I420" s="351"/>
      <c r="J420" s="351"/>
      <c r="K420" s="351"/>
      <c r="L420" s="351"/>
      <c r="M420" s="351"/>
      <c r="N420" s="351"/>
      <c r="O420" s="351"/>
      <c r="P420" s="351"/>
      <c r="Q420" s="404">
        <f>Q413+Q414+Q415</f>
        <v>52916.5</v>
      </c>
      <c r="R420" s="109"/>
    </row>
    <row r="421" spans="1:18" ht="45.75" customHeight="1">
      <c r="A421" s="385"/>
      <c r="B421" s="386" t="s">
        <v>107</v>
      </c>
      <c r="C421" s="69">
        <f>C417</f>
        <v>1.5</v>
      </c>
      <c r="D421" s="351"/>
      <c r="E421" s="351"/>
      <c r="F421" s="351"/>
      <c r="G421" s="351"/>
      <c r="H421" s="351"/>
      <c r="I421" s="351"/>
      <c r="J421" s="351"/>
      <c r="K421" s="351"/>
      <c r="L421" s="351"/>
      <c r="M421" s="351"/>
      <c r="N421" s="351"/>
      <c r="O421" s="351"/>
      <c r="P421" s="351"/>
      <c r="Q421" s="404">
        <f>Q417</f>
        <v>6695.700000000001</v>
      </c>
      <c r="R421" s="109"/>
    </row>
    <row r="422" spans="1:18" ht="45.75" customHeight="1">
      <c r="A422" s="372"/>
      <c r="B422" s="386" t="s">
        <v>108</v>
      </c>
      <c r="C422" s="69">
        <f>C416</f>
        <v>1</v>
      </c>
      <c r="D422" s="148"/>
      <c r="E422" s="148"/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404">
        <f>Q416</f>
        <v>4058</v>
      </c>
      <c r="R422" s="70"/>
    </row>
    <row r="423" spans="1:18" ht="45.75" customHeight="1">
      <c r="A423" s="457" t="s">
        <v>206</v>
      </c>
      <c r="B423" s="458"/>
      <c r="C423" s="458"/>
      <c r="D423" s="458"/>
      <c r="E423" s="458"/>
      <c r="F423" s="458"/>
      <c r="G423" s="458"/>
      <c r="H423" s="458"/>
      <c r="I423" s="458"/>
      <c r="J423" s="458"/>
      <c r="K423" s="458"/>
      <c r="L423" s="458"/>
      <c r="M423" s="458"/>
      <c r="N423" s="458"/>
      <c r="O423" s="458"/>
      <c r="P423" s="458"/>
      <c r="Q423" s="458"/>
      <c r="R423" s="458"/>
    </row>
    <row r="424" spans="1:18" ht="45.75" customHeight="1">
      <c r="A424" s="72">
        <v>1</v>
      </c>
      <c r="B424" s="73">
        <v>2</v>
      </c>
      <c r="C424" s="327">
        <v>3</v>
      </c>
      <c r="D424" s="73">
        <v>4</v>
      </c>
      <c r="E424" s="73">
        <v>5</v>
      </c>
      <c r="F424" s="73">
        <v>6</v>
      </c>
      <c r="G424" s="73">
        <v>7</v>
      </c>
      <c r="H424" s="73">
        <v>8</v>
      </c>
      <c r="I424" s="73">
        <v>9</v>
      </c>
      <c r="J424" s="73">
        <v>10</v>
      </c>
      <c r="K424" s="73">
        <v>11</v>
      </c>
      <c r="L424" s="73">
        <v>12</v>
      </c>
      <c r="M424" s="73">
        <v>13</v>
      </c>
      <c r="N424" s="73">
        <v>14</v>
      </c>
      <c r="O424" s="73">
        <v>15</v>
      </c>
      <c r="P424" s="73">
        <v>16</v>
      </c>
      <c r="Q424" s="73">
        <v>17</v>
      </c>
      <c r="R424" s="73">
        <v>18</v>
      </c>
    </row>
    <row r="425" spans="1:18" ht="94.5" customHeight="1">
      <c r="A425" s="137">
        <v>1</v>
      </c>
      <c r="B425" s="388" t="s">
        <v>277</v>
      </c>
      <c r="C425" s="250">
        <v>3.25</v>
      </c>
      <c r="D425" s="127">
        <v>7253</v>
      </c>
      <c r="E425" s="118"/>
      <c r="F425" s="118"/>
      <c r="G425" s="118"/>
      <c r="H425" s="118"/>
      <c r="I425" s="118"/>
      <c r="J425" s="118"/>
      <c r="K425" s="127">
        <f>D425+E425+F425+G425+H425+I425+J425</f>
        <v>7253</v>
      </c>
      <c r="L425" s="118"/>
      <c r="M425" s="118"/>
      <c r="N425" s="118">
        <f>K425*20%</f>
        <v>1450.6000000000001</v>
      </c>
      <c r="O425" s="118"/>
      <c r="P425" s="118"/>
      <c r="Q425" s="402">
        <f>(K425+L425+M425+N425+P425)*C425</f>
        <v>28286.7</v>
      </c>
      <c r="R425" s="121">
        <v>13</v>
      </c>
    </row>
    <row r="426" spans="1:18" ht="113.25" customHeight="1">
      <c r="A426" s="137">
        <v>2</v>
      </c>
      <c r="B426" s="388" t="s">
        <v>278</v>
      </c>
      <c r="C426" s="250">
        <v>0.5</v>
      </c>
      <c r="D426" s="127">
        <v>5815</v>
      </c>
      <c r="E426" s="118"/>
      <c r="F426" s="118"/>
      <c r="G426" s="118"/>
      <c r="H426" s="118"/>
      <c r="I426" s="118"/>
      <c r="J426" s="118"/>
      <c r="K426" s="127">
        <f>D426+E426+F426+G426+H426+I426+J426</f>
        <v>5815</v>
      </c>
      <c r="L426" s="118"/>
      <c r="M426" s="118"/>
      <c r="N426" s="118">
        <f>K426*30%</f>
        <v>1744.5</v>
      </c>
      <c r="O426" s="118"/>
      <c r="P426" s="118"/>
      <c r="Q426" s="402">
        <f>(K426+L426+M426+N426+P426)*C426</f>
        <v>3779.75</v>
      </c>
      <c r="R426" s="121">
        <v>10</v>
      </c>
    </row>
    <row r="427" spans="1:18" ht="112.5" customHeight="1">
      <c r="A427" s="137">
        <v>3</v>
      </c>
      <c r="B427" s="388" t="s">
        <v>274</v>
      </c>
      <c r="C427" s="250">
        <v>4.5</v>
      </c>
      <c r="D427" s="127">
        <v>5815</v>
      </c>
      <c r="E427" s="118"/>
      <c r="F427" s="118"/>
      <c r="G427" s="118"/>
      <c r="H427" s="118"/>
      <c r="I427" s="118"/>
      <c r="J427" s="118"/>
      <c r="K427" s="127">
        <f>D427+E427+F427+G427+H427+I427+J427</f>
        <v>5815</v>
      </c>
      <c r="L427" s="118"/>
      <c r="M427" s="118"/>
      <c r="N427" s="118">
        <f>K427*30%</f>
        <v>1744.5</v>
      </c>
      <c r="O427" s="118"/>
      <c r="P427" s="118"/>
      <c r="Q427" s="402">
        <f>(K427+L427+M427+N427+P427)*C427</f>
        <v>34017.75</v>
      </c>
      <c r="R427" s="121">
        <v>10</v>
      </c>
    </row>
    <row r="428" spans="1:18" ht="120.75" customHeight="1">
      <c r="A428" s="137">
        <v>4</v>
      </c>
      <c r="B428" s="388" t="s">
        <v>276</v>
      </c>
      <c r="C428" s="250">
        <v>4.5</v>
      </c>
      <c r="D428" s="127">
        <v>4058</v>
      </c>
      <c r="E428" s="118"/>
      <c r="F428" s="118"/>
      <c r="G428" s="118"/>
      <c r="H428" s="118"/>
      <c r="I428" s="118"/>
      <c r="J428" s="118"/>
      <c r="K428" s="127">
        <f>D428+E428+F428+G428+H428+I428+J428</f>
        <v>4058</v>
      </c>
      <c r="L428" s="118"/>
      <c r="M428" s="118"/>
      <c r="N428" s="118"/>
      <c r="O428" s="395"/>
      <c r="P428" s="118">
        <f>K428*0.1</f>
        <v>405.8</v>
      </c>
      <c r="Q428" s="402">
        <f>(K428+L428+M428+N428+P428)*C428</f>
        <v>20087.100000000002</v>
      </c>
      <c r="R428" s="121">
        <v>4</v>
      </c>
    </row>
    <row r="429" spans="1:18" ht="45.75" customHeight="1">
      <c r="A429" s="137"/>
      <c r="B429" s="61"/>
      <c r="C429" s="62">
        <f>SUM(C425:C428)</f>
        <v>12.75</v>
      </c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403">
        <f>Q425+Q426+Q427+Q428</f>
        <v>86171.3</v>
      </c>
      <c r="R429" s="121"/>
    </row>
    <row r="430" spans="1:18" ht="45.75" customHeight="1">
      <c r="A430" s="385"/>
      <c r="B430" s="386" t="s">
        <v>184</v>
      </c>
      <c r="C430" s="69">
        <f>C425</f>
        <v>3.25</v>
      </c>
      <c r="D430" s="351"/>
      <c r="E430" s="351"/>
      <c r="F430" s="351"/>
      <c r="G430" s="351"/>
      <c r="H430" s="351"/>
      <c r="I430" s="351"/>
      <c r="J430" s="351"/>
      <c r="K430" s="351"/>
      <c r="L430" s="351"/>
      <c r="M430" s="351"/>
      <c r="N430" s="351"/>
      <c r="O430" s="351"/>
      <c r="P430" s="351"/>
      <c r="Q430" s="404">
        <f>Q425</f>
        <v>28286.7</v>
      </c>
      <c r="R430" s="109"/>
    </row>
    <row r="431" spans="1:18" ht="45.75" customHeight="1">
      <c r="A431" s="385"/>
      <c r="B431" s="386" t="s">
        <v>199</v>
      </c>
      <c r="C431" s="69">
        <f>C426+C427</f>
        <v>5</v>
      </c>
      <c r="D431" s="351"/>
      <c r="E431" s="351"/>
      <c r="F431" s="351"/>
      <c r="G431" s="351"/>
      <c r="H431" s="351"/>
      <c r="I431" s="351"/>
      <c r="J431" s="351"/>
      <c r="K431" s="351"/>
      <c r="L431" s="351"/>
      <c r="M431" s="351"/>
      <c r="N431" s="351"/>
      <c r="O431" s="351"/>
      <c r="P431" s="351"/>
      <c r="Q431" s="404">
        <f>Q426+Q427</f>
        <v>37797.5</v>
      </c>
      <c r="R431" s="109"/>
    </row>
    <row r="432" spans="1:18" ht="45.75" customHeight="1">
      <c r="A432" s="385"/>
      <c r="B432" s="386" t="s">
        <v>107</v>
      </c>
      <c r="C432" s="69">
        <f>C428</f>
        <v>4.5</v>
      </c>
      <c r="D432" s="351"/>
      <c r="E432" s="351"/>
      <c r="F432" s="351"/>
      <c r="G432" s="351"/>
      <c r="H432" s="351"/>
      <c r="I432" s="351"/>
      <c r="J432" s="351"/>
      <c r="K432" s="351"/>
      <c r="L432" s="351"/>
      <c r="M432" s="351"/>
      <c r="N432" s="351"/>
      <c r="O432" s="351"/>
      <c r="P432" s="351"/>
      <c r="Q432" s="404">
        <f>Q428</f>
        <v>20087.100000000002</v>
      </c>
      <c r="R432" s="109"/>
    </row>
    <row r="433" spans="1:18" ht="45.75" customHeight="1">
      <c r="A433" s="372"/>
      <c r="B433" s="386"/>
      <c r="C433" s="69"/>
      <c r="D433" s="148"/>
      <c r="E433" s="148"/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404"/>
      <c r="R433" s="70"/>
    </row>
    <row r="434" spans="1:18" ht="45.75" customHeight="1">
      <c r="A434" s="372"/>
      <c r="B434" s="133"/>
      <c r="C434" s="205"/>
      <c r="D434" s="148"/>
      <c r="E434" s="148"/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370"/>
      <c r="R434" s="70"/>
    </row>
    <row r="435" spans="1:19" ht="84.75" customHeight="1">
      <c r="A435" s="64"/>
      <c r="B435" s="389" t="s">
        <v>279</v>
      </c>
      <c r="C435" s="390">
        <f>SUM(C436:C439)</f>
        <v>265.25</v>
      </c>
      <c r="D435" s="435"/>
      <c r="E435" s="436"/>
      <c r="F435" s="436"/>
      <c r="G435" s="436"/>
      <c r="H435" s="436"/>
      <c r="I435" s="436"/>
      <c r="J435" s="436"/>
      <c r="K435" s="436"/>
      <c r="L435" s="436"/>
      <c r="M435" s="436"/>
      <c r="N435" s="436"/>
      <c r="O435" s="436"/>
      <c r="P435" s="437"/>
      <c r="Q435" s="405">
        <f>SUM(Q436:Q439)</f>
        <v>1719078.6866</v>
      </c>
      <c r="R435" s="70"/>
      <c r="S435" s="406"/>
    </row>
    <row r="436" spans="1:19" ht="37.5" customHeight="1">
      <c r="A436" s="64"/>
      <c r="B436" s="391" t="s">
        <v>184</v>
      </c>
      <c r="C436" s="392">
        <f>C25+C138+C184+C230+C254+C292+C315+C339+C351+C363+C375+C383+C396+C419+C430</f>
        <v>66.5</v>
      </c>
      <c r="D436" s="438"/>
      <c r="E436" s="439"/>
      <c r="F436" s="439"/>
      <c r="G436" s="439"/>
      <c r="H436" s="439"/>
      <c r="I436" s="439"/>
      <c r="J436" s="439"/>
      <c r="K436" s="439"/>
      <c r="L436" s="439"/>
      <c r="M436" s="439"/>
      <c r="N436" s="439"/>
      <c r="O436" s="439"/>
      <c r="P436" s="440"/>
      <c r="Q436" s="407">
        <f>Q25+Q138+Q184+Q230+Q254+Q292+Q315+Q339+Q351+Q363+Q375+Q383+Q396+Q419+4166.84</f>
        <v>548834.6557</v>
      </c>
      <c r="R436" s="70"/>
      <c r="S436" s="406"/>
    </row>
    <row r="437" spans="1:19" ht="37.5" customHeight="1">
      <c r="A437" s="64"/>
      <c r="B437" s="391" t="s">
        <v>199</v>
      </c>
      <c r="C437" s="392">
        <f>C139+C216+C231+C255+C265+C277+C293+C316+C340+C376+C384+C397+C420+C431</f>
        <v>99.25</v>
      </c>
      <c r="D437" s="441"/>
      <c r="E437" s="442"/>
      <c r="F437" s="442"/>
      <c r="G437" s="442"/>
      <c r="H437" s="442"/>
      <c r="I437" s="442"/>
      <c r="J437" s="442"/>
      <c r="K437" s="442"/>
      <c r="L437" s="442"/>
      <c r="M437" s="442"/>
      <c r="N437" s="442"/>
      <c r="O437" s="442"/>
      <c r="P437" s="443"/>
      <c r="Q437" s="407">
        <f>Q139+Q216+Q231+Q255+Q265+Q277+Q293+Q316+Q340+Q376+Q384+Q397+Q420</f>
        <v>713210.9639</v>
      </c>
      <c r="R437" s="70"/>
      <c r="S437" s="406"/>
    </row>
    <row r="438" spans="1:19" ht="39.75" customHeight="1">
      <c r="A438" s="64"/>
      <c r="B438" s="391" t="s">
        <v>107</v>
      </c>
      <c r="C438" s="392">
        <f>C140+C223+C256+C266+C278+C294+C317+C341+C352+C364+C377+C398+C421+C432</f>
        <v>47.75</v>
      </c>
      <c r="D438" s="438"/>
      <c r="E438" s="439"/>
      <c r="F438" s="439"/>
      <c r="G438" s="439"/>
      <c r="H438" s="439"/>
      <c r="I438" s="439"/>
      <c r="J438" s="439"/>
      <c r="K438" s="439"/>
      <c r="L438" s="439"/>
      <c r="M438" s="439"/>
      <c r="N438" s="439"/>
      <c r="O438" s="439"/>
      <c r="P438" s="440"/>
      <c r="Q438" s="407">
        <f>Q140+Q223+Q256+Q266+Q278+Q294+Q317+Q341+Q352+Q364+Q377+Q398+Q421</f>
        <v>193228.7</v>
      </c>
      <c r="R438" s="70"/>
      <c r="S438" s="406"/>
    </row>
    <row r="439" spans="1:19" ht="42" customHeight="1">
      <c r="A439" s="64"/>
      <c r="B439" s="391" t="s">
        <v>280</v>
      </c>
      <c r="C439" s="392">
        <f>C26+C49+C56+C64+C113+C78+C141+C224+C318+C342+C422+C357</f>
        <v>51.75</v>
      </c>
      <c r="D439" s="444"/>
      <c r="E439" s="445"/>
      <c r="F439" s="445"/>
      <c r="G439" s="445"/>
      <c r="H439" s="445"/>
      <c r="I439" s="445"/>
      <c r="J439" s="445"/>
      <c r="K439" s="445"/>
      <c r="L439" s="445"/>
      <c r="M439" s="445"/>
      <c r="N439" s="445"/>
      <c r="O439" s="445"/>
      <c r="P439" s="446"/>
      <c r="Q439" s="407">
        <f>Q26+Q49+Q56+Q64+Q113+Q78+Q141+Q224+Q318+Q342+Q422+Q357-4018.72</f>
        <v>263804.3670000001</v>
      </c>
      <c r="R439" s="70"/>
      <c r="S439" s="406"/>
    </row>
    <row r="440" spans="1:18" ht="45.75" customHeight="1">
      <c r="A440" s="70"/>
      <c r="B440" s="64"/>
      <c r="C440" s="97"/>
      <c r="D440" s="70"/>
      <c r="E440" s="64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</row>
    <row r="441" spans="1:18" ht="45.75" customHeight="1">
      <c r="A441" s="64"/>
      <c r="B441" s="70"/>
      <c r="C441" s="97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</row>
    <row r="442" spans="1:18" ht="45.75" customHeight="1">
      <c r="A442" s="70"/>
      <c r="B442" s="64"/>
      <c r="C442" s="97"/>
      <c r="D442" s="70"/>
      <c r="E442" s="70"/>
      <c r="F442" s="70"/>
      <c r="G442" s="70"/>
      <c r="H442" s="70"/>
      <c r="I442" s="396"/>
      <c r="J442" s="70"/>
      <c r="K442" s="70"/>
      <c r="L442" s="70"/>
      <c r="M442" s="70"/>
      <c r="N442" s="70"/>
      <c r="O442" s="70"/>
      <c r="P442" s="70"/>
      <c r="Q442" s="70"/>
      <c r="R442" s="70"/>
    </row>
    <row r="443" spans="1:18" ht="26.25">
      <c r="A443" s="393"/>
      <c r="B443" s="95"/>
      <c r="C443" s="5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</row>
    <row r="444" ht="18.75">
      <c r="A444" s="394"/>
    </row>
    <row r="445" ht="18.75">
      <c r="A445" s="394"/>
    </row>
    <row r="446" ht="18.75">
      <c r="A446" s="394"/>
    </row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</sheetData>
  <sheetProtection/>
  <mergeCells count="124">
    <mergeCell ref="Q7:R9"/>
    <mergeCell ref="E10:J10"/>
    <mergeCell ref="L10:N10"/>
    <mergeCell ref="O10:P10"/>
    <mergeCell ref="A13:M13"/>
    <mergeCell ref="A14:M14"/>
    <mergeCell ref="A15:M15"/>
    <mergeCell ref="C10:C11"/>
    <mergeCell ref="D10:D11"/>
    <mergeCell ref="K10:K11"/>
    <mergeCell ref="A16:M16"/>
    <mergeCell ref="A52:R52"/>
    <mergeCell ref="A56:B56"/>
    <mergeCell ref="A58:R58"/>
    <mergeCell ref="A64:B64"/>
    <mergeCell ref="A67:R67"/>
    <mergeCell ref="A78:B78"/>
    <mergeCell ref="E99:J99"/>
    <mergeCell ref="L99:N99"/>
    <mergeCell ref="O99:P99"/>
    <mergeCell ref="A112:B112"/>
    <mergeCell ref="B115:C115"/>
    <mergeCell ref="B99:B100"/>
    <mergeCell ref="C99:C100"/>
    <mergeCell ref="D99:D100"/>
    <mergeCell ref="K99:K100"/>
    <mergeCell ref="B116:C116"/>
    <mergeCell ref="B117:C117"/>
    <mergeCell ref="E120:J120"/>
    <mergeCell ref="L120:N120"/>
    <mergeCell ref="O120:P120"/>
    <mergeCell ref="A124:R124"/>
    <mergeCell ref="B120:B122"/>
    <mergeCell ref="C120:C122"/>
    <mergeCell ref="D120:D122"/>
    <mergeCell ref="K120:K122"/>
    <mergeCell ref="A216:B216"/>
    <mergeCell ref="E218:M218"/>
    <mergeCell ref="A222:B222"/>
    <mergeCell ref="E226:K226"/>
    <mergeCell ref="B150:B151"/>
    <mergeCell ref="B193:B194"/>
    <mergeCell ref="C150:C151"/>
    <mergeCell ref="C193:C194"/>
    <mergeCell ref="A150:A151"/>
    <mergeCell ref="D150:D151"/>
    <mergeCell ref="A233:R233"/>
    <mergeCell ref="B237:D237"/>
    <mergeCell ref="A240:R240"/>
    <mergeCell ref="A242:R242"/>
    <mergeCell ref="A253:B253"/>
    <mergeCell ref="A257:R257"/>
    <mergeCell ref="A263:B263"/>
    <mergeCell ref="A269:R269"/>
    <mergeCell ref="A275:B275"/>
    <mergeCell ref="A276:B276"/>
    <mergeCell ref="A277:B277"/>
    <mergeCell ref="A278:B278"/>
    <mergeCell ref="A280:R280"/>
    <mergeCell ref="A290:B290"/>
    <mergeCell ref="A296:R296"/>
    <mergeCell ref="A312:R312"/>
    <mergeCell ref="A313:B313"/>
    <mergeCell ref="A319:R319"/>
    <mergeCell ref="A337:B337"/>
    <mergeCell ref="A350:B350"/>
    <mergeCell ref="D359:O359"/>
    <mergeCell ref="A362:B362"/>
    <mergeCell ref="A368:R368"/>
    <mergeCell ref="A374:B374"/>
    <mergeCell ref="A378:R378"/>
    <mergeCell ref="A382:B382"/>
    <mergeCell ref="A385:R385"/>
    <mergeCell ref="A394:B394"/>
    <mergeCell ref="A407:R407"/>
    <mergeCell ref="A423:R423"/>
    <mergeCell ref="D435:P435"/>
    <mergeCell ref="D436:P436"/>
    <mergeCell ref="D437:P437"/>
    <mergeCell ref="D438:P438"/>
    <mergeCell ref="D439:P439"/>
    <mergeCell ref="A10:A11"/>
    <mergeCell ref="A99:A100"/>
    <mergeCell ref="A120:A122"/>
    <mergeCell ref="A193:A194"/>
    <mergeCell ref="B10:B11"/>
    <mergeCell ref="D193:D194"/>
    <mergeCell ref="E121:E122"/>
    <mergeCell ref="E150:E151"/>
    <mergeCell ref="E193:E194"/>
    <mergeCell ref="F121:F122"/>
    <mergeCell ref="F150:F151"/>
    <mergeCell ref="F193:F194"/>
    <mergeCell ref="A143:R143"/>
    <mergeCell ref="B180:R180"/>
    <mergeCell ref="G150:G151"/>
    <mergeCell ref="G193:G194"/>
    <mergeCell ref="H121:H122"/>
    <mergeCell ref="I121:I122"/>
    <mergeCell ref="I193:I194"/>
    <mergeCell ref="J121:J122"/>
    <mergeCell ref="J150:J151"/>
    <mergeCell ref="J193:J194"/>
    <mergeCell ref="L121:L122"/>
    <mergeCell ref="L150:L151"/>
    <mergeCell ref="L193:L194"/>
    <mergeCell ref="M121:M122"/>
    <mergeCell ref="M150:M151"/>
    <mergeCell ref="M193:M194"/>
    <mergeCell ref="N121:N122"/>
    <mergeCell ref="O121:O122"/>
    <mergeCell ref="O193:O194"/>
    <mergeCell ref="P121:P122"/>
    <mergeCell ref="P150:P151"/>
    <mergeCell ref="P193:P194"/>
    <mergeCell ref="Q10:Q11"/>
    <mergeCell ref="Q99:Q100"/>
    <mergeCell ref="Q120:Q122"/>
    <mergeCell ref="Q193:Q194"/>
    <mergeCell ref="R10:R11"/>
    <mergeCell ref="R99:R100"/>
    <mergeCell ref="R120:R122"/>
    <mergeCell ref="R150:R151"/>
    <mergeCell ref="R193:R194"/>
  </mergeCells>
  <printOptions horizontalCentered="1"/>
  <pageMargins left="0.2362204724409449" right="0.2362204724409449" top="0.7480314960629921" bottom="0" header="0.31496062992125984" footer="0.31496062992125984"/>
  <pageSetup fitToHeight="0" fitToWidth="1" horizontalDpi="600" verticalDpi="600" orientation="landscape" paperSize="9" scale="24" r:id="rId3"/>
  <rowBreaks count="3" manualBreakCount="3">
    <brk id="196" max="28" man="1"/>
    <brk id="225" max="28" man="1"/>
    <brk id="367" max="2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S21"/>
  <sheetViews>
    <sheetView view="pageBreakPreview" zoomScale="75" zoomScaleNormal="75" zoomScaleSheetLayoutView="75" workbookViewId="0" topLeftCell="A7">
      <selection activeCell="L2" sqref="L2:R2"/>
    </sheetView>
  </sheetViews>
  <sheetFormatPr defaultColWidth="9.00390625" defaultRowHeight="12.75"/>
  <cols>
    <col min="1" max="1" width="4.875" style="2" customWidth="1"/>
    <col min="2" max="2" width="27.875" style="2" customWidth="1"/>
    <col min="3" max="3" width="15.75390625" style="2" customWidth="1"/>
    <col min="4" max="4" width="8.00390625" style="2" customWidth="1"/>
    <col min="5" max="5" width="9.625" style="2" customWidth="1"/>
    <col min="6" max="6" width="7.375" style="2" customWidth="1"/>
    <col min="7" max="7" width="4.875" style="2" customWidth="1"/>
    <col min="8" max="8" width="11.625" style="2" customWidth="1"/>
    <col min="9" max="9" width="9.75390625" style="2" customWidth="1"/>
    <col min="10" max="10" width="12.25390625" style="2" customWidth="1"/>
    <col min="11" max="11" width="11.375" style="2" customWidth="1"/>
    <col min="12" max="12" width="8.375" style="2" customWidth="1"/>
    <col min="13" max="13" width="9.875" style="2" bestFit="1" customWidth="1"/>
    <col min="14" max="14" width="9.25390625" style="2" bestFit="1" customWidth="1"/>
    <col min="15" max="15" width="10.25390625" style="2" customWidth="1"/>
    <col min="16" max="16" width="7.875" style="2" customWidth="1"/>
    <col min="17" max="17" width="9.875" style="2" customWidth="1"/>
    <col min="18" max="18" width="9.75390625" style="2" customWidth="1"/>
    <col min="19" max="19" width="11.625" style="2" customWidth="1"/>
    <col min="20" max="20" width="9.125" style="2" bestFit="1" customWidth="1"/>
    <col min="21" max="16384" width="9.125" style="2" customWidth="1"/>
  </cols>
  <sheetData>
    <row r="1" spans="1:8" ht="15.75">
      <c r="A1" s="3"/>
      <c r="H1" s="3"/>
    </row>
    <row r="2" spans="1:19" ht="16.5">
      <c r="A2" s="3"/>
      <c r="B2" s="537" t="s">
        <v>281</v>
      </c>
      <c r="C2" s="537"/>
      <c r="D2" s="537"/>
      <c r="E2" s="537"/>
      <c r="F2" s="4"/>
      <c r="G2" s="4"/>
      <c r="H2" s="4"/>
      <c r="I2" s="4"/>
      <c r="L2" s="537" t="s">
        <v>282</v>
      </c>
      <c r="M2" s="537"/>
      <c r="N2" s="537"/>
      <c r="O2" s="537"/>
      <c r="P2" s="537"/>
      <c r="Q2" s="537"/>
      <c r="R2" s="537"/>
      <c r="S2" s="39"/>
    </row>
    <row r="3" spans="1:19" ht="16.5">
      <c r="A3" s="3"/>
      <c r="B3" s="537" t="s">
        <v>283</v>
      </c>
      <c r="C3" s="537"/>
      <c r="D3" s="537"/>
      <c r="E3" s="537"/>
      <c r="F3" s="4"/>
      <c r="G3" s="4"/>
      <c r="H3" s="4"/>
      <c r="I3" s="4"/>
      <c r="L3" s="533" t="s">
        <v>283</v>
      </c>
      <c r="M3" s="533"/>
      <c r="N3" s="533"/>
      <c r="O3" s="533"/>
      <c r="P3" s="533"/>
      <c r="Q3" s="533"/>
      <c r="R3" s="533"/>
      <c r="S3" s="533"/>
    </row>
    <row r="4" spans="1:19" ht="15.75">
      <c r="A4" s="3"/>
      <c r="B4" s="533" t="s">
        <v>284</v>
      </c>
      <c r="C4" s="533"/>
      <c r="D4" s="533"/>
      <c r="E4" s="533"/>
      <c r="F4" s="5"/>
      <c r="G4" s="5"/>
      <c r="H4" s="5"/>
      <c r="I4" s="5"/>
      <c r="L4" s="533" t="s">
        <v>284</v>
      </c>
      <c r="M4" s="533"/>
      <c r="N4" s="533"/>
      <c r="O4" s="533"/>
      <c r="P4" s="533"/>
      <c r="Q4" s="533"/>
      <c r="R4" s="533"/>
      <c r="S4" s="533"/>
    </row>
    <row r="5" spans="1:19" ht="15.75">
      <c r="A5" s="3"/>
      <c r="B5" s="532" t="s">
        <v>331</v>
      </c>
      <c r="C5" s="532"/>
      <c r="D5" s="532"/>
      <c r="E5" s="532"/>
      <c r="F5" s="532"/>
      <c r="G5" s="532"/>
      <c r="H5" s="532"/>
      <c r="I5" s="532"/>
      <c r="J5" s="532"/>
      <c r="K5" s="533" t="s">
        <v>331</v>
      </c>
      <c r="L5" s="533"/>
      <c r="M5" s="533"/>
      <c r="N5" s="533"/>
      <c r="O5" s="533"/>
      <c r="P5" s="533"/>
      <c r="Q5" s="533"/>
      <c r="R5" s="533"/>
      <c r="S5" s="533"/>
    </row>
    <row r="6" spans="1:17" ht="18">
      <c r="A6" s="3"/>
      <c r="L6" s="1"/>
      <c r="M6" s="24"/>
      <c r="N6" s="24"/>
      <c r="O6" s="24"/>
      <c r="P6" s="24"/>
      <c r="Q6" s="24"/>
    </row>
    <row r="7" spans="1:19" ht="65.25" customHeight="1">
      <c r="A7" s="3"/>
      <c r="B7" s="6" t="s">
        <v>285</v>
      </c>
      <c r="C7" s="6"/>
      <c r="D7" s="7"/>
      <c r="E7" s="7"/>
      <c r="F7" s="534" t="s">
        <v>286</v>
      </c>
      <c r="G7" s="534"/>
      <c r="H7" s="534"/>
      <c r="I7" s="534"/>
      <c r="J7" s="534" t="s">
        <v>287</v>
      </c>
      <c r="K7" s="534"/>
      <c r="L7" s="534"/>
      <c r="M7" s="534"/>
      <c r="N7" s="535"/>
      <c r="O7" s="535"/>
      <c r="P7" s="536" t="s">
        <v>288</v>
      </c>
      <c r="Q7" s="536"/>
      <c r="R7" s="536"/>
      <c r="S7" s="536"/>
    </row>
    <row r="8" spans="1:16" ht="18">
      <c r="A8" s="3"/>
      <c r="C8" s="1" t="s">
        <v>289</v>
      </c>
      <c r="E8" s="2" t="s">
        <v>290</v>
      </c>
      <c r="H8" s="8"/>
      <c r="I8" s="8"/>
      <c r="J8" s="25"/>
      <c r="L8" s="26" t="s">
        <v>289</v>
      </c>
      <c r="M8" s="27"/>
      <c r="N8" s="527" t="s">
        <v>290</v>
      </c>
      <c r="O8" s="527"/>
      <c r="P8" s="27"/>
    </row>
    <row r="9" spans="1:16" ht="18">
      <c r="A9" s="3"/>
      <c r="H9" s="528" t="s">
        <v>291</v>
      </c>
      <c r="I9" s="528"/>
      <c r="J9" s="528"/>
      <c r="L9" s="28"/>
      <c r="M9" s="29"/>
      <c r="N9" s="29"/>
      <c r="O9" s="29"/>
      <c r="P9" s="29"/>
    </row>
    <row r="10" spans="1:17" ht="18">
      <c r="A10" s="3"/>
      <c r="L10" s="1"/>
      <c r="M10" s="24"/>
      <c r="N10" s="24"/>
      <c r="O10" s="24"/>
      <c r="P10" s="24"/>
      <c r="Q10" s="24"/>
    </row>
    <row r="11" spans="1:17" ht="21.75" customHeight="1">
      <c r="A11" s="3"/>
      <c r="J11" s="9"/>
      <c r="L11" s="1"/>
      <c r="M11" s="24"/>
      <c r="N11" s="24"/>
      <c r="O11" s="24"/>
      <c r="P11" s="24"/>
      <c r="Q11" s="24"/>
    </row>
    <row r="12" spans="1:19" ht="24" customHeight="1">
      <c r="A12" s="529" t="s">
        <v>292</v>
      </c>
      <c r="B12" s="529"/>
      <c r="C12" s="529"/>
      <c r="D12" s="529"/>
      <c r="E12" s="529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</row>
    <row r="13" spans="1:19" ht="23.25" customHeight="1">
      <c r="A13" s="529" t="s">
        <v>293</v>
      </c>
      <c r="B13" s="529"/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29"/>
      <c r="S13" s="529"/>
    </row>
    <row r="14" spans="1:19" ht="44.25" customHeight="1">
      <c r="A14" s="530" t="s">
        <v>329</v>
      </c>
      <c r="B14" s="530"/>
      <c r="C14" s="530"/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</row>
    <row r="15" spans="1:19" s="1" customFormat="1" ht="57" customHeight="1">
      <c r="A15" s="524" t="s">
        <v>294</v>
      </c>
      <c r="B15" s="515" t="s">
        <v>295</v>
      </c>
      <c r="C15" s="515" t="s">
        <v>296</v>
      </c>
      <c r="D15" s="515" t="s">
        <v>297</v>
      </c>
      <c r="E15" s="515" t="s">
        <v>298</v>
      </c>
      <c r="F15" s="518" t="s">
        <v>299</v>
      </c>
      <c r="G15" s="531"/>
      <c r="H15" s="10" t="s">
        <v>300</v>
      </c>
      <c r="I15" s="11" t="s">
        <v>301</v>
      </c>
      <c r="J15" s="517" t="s">
        <v>302</v>
      </c>
      <c r="K15" s="531" t="s">
        <v>303</v>
      </c>
      <c r="L15" s="531"/>
      <c r="M15" s="531"/>
      <c r="N15" s="531"/>
      <c r="O15" s="531"/>
      <c r="P15" s="531"/>
      <c r="Q15" s="531"/>
      <c r="R15" s="519"/>
      <c r="S15" s="515" t="s">
        <v>304</v>
      </c>
    </row>
    <row r="16" spans="1:19" s="1" customFormat="1" ht="19.5" customHeight="1">
      <c r="A16" s="525"/>
      <c r="B16" s="517"/>
      <c r="C16" s="517"/>
      <c r="D16" s="517"/>
      <c r="E16" s="517"/>
      <c r="F16" s="515" t="s">
        <v>305</v>
      </c>
      <c r="G16" s="515" t="s">
        <v>306</v>
      </c>
      <c r="H16" s="12" t="s">
        <v>307</v>
      </c>
      <c r="I16" s="515" t="s">
        <v>308</v>
      </c>
      <c r="J16" s="516"/>
      <c r="K16" s="518" t="s">
        <v>309</v>
      </c>
      <c r="L16" s="519"/>
      <c r="M16" s="518" t="s">
        <v>310</v>
      </c>
      <c r="N16" s="519"/>
      <c r="O16" s="518" t="s">
        <v>311</v>
      </c>
      <c r="P16" s="519"/>
      <c r="Q16" s="520" t="s">
        <v>312</v>
      </c>
      <c r="R16" s="521"/>
      <c r="S16" s="517"/>
    </row>
    <row r="17" spans="1:19" s="1" customFormat="1" ht="37.5">
      <c r="A17" s="526"/>
      <c r="B17" s="516"/>
      <c r="C17" s="516"/>
      <c r="D17" s="516"/>
      <c r="E17" s="516"/>
      <c r="F17" s="516"/>
      <c r="G17" s="516"/>
      <c r="H17" s="13" t="s">
        <v>330</v>
      </c>
      <c r="I17" s="516"/>
      <c r="J17" s="30">
        <f>L18+N18+P18+R18</f>
        <v>1719.1</v>
      </c>
      <c r="K17" s="31" t="s">
        <v>313</v>
      </c>
      <c r="L17" s="31" t="s">
        <v>302</v>
      </c>
      <c r="M17" s="31" t="s">
        <v>313</v>
      </c>
      <c r="N17" s="31" t="s">
        <v>302</v>
      </c>
      <c r="O17" s="31" t="s">
        <v>313</v>
      </c>
      <c r="P17" s="31" t="s">
        <v>302</v>
      </c>
      <c r="Q17" s="31" t="s">
        <v>313</v>
      </c>
      <c r="R17" s="31" t="s">
        <v>302</v>
      </c>
      <c r="S17" s="516"/>
    </row>
    <row r="18" spans="1:19" s="1" customFormat="1" ht="48" customHeight="1">
      <c r="A18" s="14">
        <v>1</v>
      </c>
      <c r="B18" s="15" t="s">
        <v>314</v>
      </c>
      <c r="C18" s="16" t="s">
        <v>315</v>
      </c>
      <c r="D18" s="16">
        <v>1</v>
      </c>
      <c r="E18" s="17">
        <v>120</v>
      </c>
      <c r="F18" s="16">
        <v>280</v>
      </c>
      <c r="G18" s="16" t="s">
        <v>25</v>
      </c>
      <c r="H18" s="18">
        <v>45146</v>
      </c>
      <c r="I18" s="32">
        <v>265.25</v>
      </c>
      <c r="J18" s="30">
        <v>1719.1</v>
      </c>
      <c r="K18" s="34">
        <v>66.5</v>
      </c>
      <c r="L18" s="33">
        <v>548.8</v>
      </c>
      <c r="M18" s="34">
        <v>98.75</v>
      </c>
      <c r="N18" s="33">
        <v>713.2</v>
      </c>
      <c r="O18" s="34">
        <v>47.75</v>
      </c>
      <c r="P18" s="33">
        <v>193.3</v>
      </c>
      <c r="Q18" s="34">
        <v>51.75</v>
      </c>
      <c r="R18" s="33">
        <v>263.8</v>
      </c>
      <c r="S18" s="16">
        <v>15.5</v>
      </c>
    </row>
    <row r="19" spans="1:19" s="1" customFormat="1" ht="31.5" customHeight="1">
      <c r="A19" s="19"/>
      <c r="B19" s="20" t="s">
        <v>316</v>
      </c>
      <c r="C19" s="19"/>
      <c r="D19" s="15">
        <f>SUM(D18:D18)</f>
        <v>1</v>
      </c>
      <c r="E19" s="21">
        <f>SUM(E18:E18)</f>
        <v>120</v>
      </c>
      <c r="F19" s="522">
        <f>F18</f>
        <v>280</v>
      </c>
      <c r="G19" s="523"/>
      <c r="H19" s="22">
        <f>SUM(H18:H18)</f>
        <v>45146</v>
      </c>
      <c r="I19" s="35">
        <f>SUM(I18:I18)</f>
        <v>265.25</v>
      </c>
      <c r="J19" s="36">
        <v>1719.1</v>
      </c>
      <c r="K19" s="413">
        <v>66.5</v>
      </c>
      <c r="L19" s="37">
        <v>548.8</v>
      </c>
      <c r="M19" s="38">
        <v>99.25</v>
      </c>
      <c r="N19" s="37">
        <v>713.2</v>
      </c>
      <c r="O19" s="38">
        <v>47.75</v>
      </c>
      <c r="P19" s="37">
        <v>193.3</v>
      </c>
      <c r="Q19" s="38">
        <v>51.75</v>
      </c>
      <c r="R19" s="37">
        <v>263.8</v>
      </c>
      <c r="S19" s="15">
        <f>SUM(S18:S18)</f>
        <v>15.5</v>
      </c>
    </row>
    <row r="20" ht="18.75">
      <c r="A20" s="23"/>
    </row>
    <row r="21" ht="18.75">
      <c r="A21" s="23"/>
    </row>
  </sheetData>
  <sheetProtection/>
  <mergeCells count="34">
    <mergeCell ref="B2:E2"/>
    <mergeCell ref="L2:R2"/>
    <mergeCell ref="B3:E3"/>
    <mergeCell ref="L3:S3"/>
    <mergeCell ref="B4:E4"/>
    <mergeCell ref="L4:S4"/>
    <mergeCell ref="B5:J5"/>
    <mergeCell ref="K5:S5"/>
    <mergeCell ref="F7:I7"/>
    <mergeCell ref="J7:M7"/>
    <mergeCell ref="N7:O7"/>
    <mergeCell ref="P7:S7"/>
    <mergeCell ref="N8:O8"/>
    <mergeCell ref="H9:J9"/>
    <mergeCell ref="A12:S12"/>
    <mergeCell ref="A13:S13"/>
    <mergeCell ref="A14:S14"/>
    <mergeCell ref="F15:G15"/>
    <mergeCell ref="K15:R15"/>
    <mergeCell ref="F19:G19"/>
    <mergeCell ref="A15:A17"/>
    <mergeCell ref="B15:B17"/>
    <mergeCell ref="C15:C17"/>
    <mergeCell ref="D15:D17"/>
    <mergeCell ref="E15:E17"/>
    <mergeCell ref="F16:F17"/>
    <mergeCell ref="G16:G17"/>
    <mergeCell ref="I16:I17"/>
    <mergeCell ref="J15:J16"/>
    <mergeCell ref="S15:S17"/>
    <mergeCell ref="K16:L16"/>
    <mergeCell ref="M16:N16"/>
    <mergeCell ref="O16:P16"/>
    <mergeCell ref="Q16:R16"/>
  </mergeCells>
  <printOptions/>
  <pageMargins left="0.25" right="0.14" top="0.16" bottom="0.18" header="0.15" footer="0.1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Таня Возна</cp:lastModifiedBy>
  <cp:lastPrinted>2024-03-18T01:40:52Z</cp:lastPrinted>
  <dcterms:created xsi:type="dcterms:W3CDTF">2007-05-25T06:15:19Z</dcterms:created>
  <dcterms:modified xsi:type="dcterms:W3CDTF">2024-03-18T01:50:12Z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2457AF0B28654FBA9F896F7CCC5F60D1</vt:lpwstr>
  </property>
  <property fmtid="{D5CDD505-2E9C-101B-9397-08002B2CF9AE}" pid="3" name="KSOProductBuildVer">
    <vt:lpwstr>1049-11.2.0.11537</vt:lpwstr>
  </property>
</Properties>
</file>