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6792" tabRatio="792" firstSheet="1" activeTab="11"/>
  </bookViews>
  <sheets>
    <sheet name="Титулка" sheetId="1" r:id="rId1"/>
    <sheet name="л-дні" sheetId="2" r:id="rId2"/>
    <sheet name="Адмін." sheetId="3" r:id="rId3"/>
    <sheet name="Тетіїв" sheetId="4" r:id="rId4"/>
    <sheet name="Денихівка" sheetId="5" r:id="rId5"/>
    <sheet name="П'ятигори" sheetId="6" r:id="rId6"/>
    <sheet name="Кашперівка" sheetId="7" r:id="rId7"/>
    <sheet name="Голодьки" sheetId="8" r:id="rId8"/>
    <sheet name="Горошків" sheetId="9" r:id="rId9"/>
    <sheet name="Галайки" sheetId="10" r:id="rId10"/>
    <sheet name="Теліженці" sheetId="11" r:id="rId11"/>
    <sheet name="ФП" sheetId="12" r:id="rId12"/>
  </sheets>
  <definedNames>
    <definedName name="_xlnm._FilterDatabase" localSheetId="2" hidden="1">'Адмін.'!$S$5:$S$71</definedName>
    <definedName name="_xlnm._FilterDatabase" localSheetId="4" hidden="1">'Денихівка'!$S$4:$S$20</definedName>
    <definedName name="_xlnm._FilterDatabase" localSheetId="6" hidden="1">'Кашперівка'!$S$4:$S$21</definedName>
    <definedName name="_xlnm._FilterDatabase" localSheetId="5" hidden="1">'П''ятигори'!$S$4:$S$21</definedName>
    <definedName name="_xlnm._FilterDatabase" localSheetId="3" hidden="1">'Тетіїв'!$S$4:$S$53</definedName>
    <definedName name="_xlnm._FilterDatabase" localSheetId="11" hidden="1">'ФП'!$S$4:$S$76</definedName>
    <definedName name="_xlnm.Print_Titles" localSheetId="11">'ФП'!$4:$6</definedName>
    <definedName name="_xlnm.Print_Area" localSheetId="2">'Адмін.'!$A$1:$S$62</definedName>
    <definedName name="_xlnm.Print_Area" localSheetId="9">'Галайки'!$A$1:$S$21</definedName>
    <definedName name="_xlnm.Print_Area" localSheetId="7">'Голодьки'!$A$1:$S$20</definedName>
    <definedName name="_xlnm.Print_Area" localSheetId="8">'Горошків'!$A$1:$S$22</definedName>
    <definedName name="_xlnm.Print_Area" localSheetId="4">'Денихівка'!$A$1:$S$19</definedName>
    <definedName name="_xlnm.Print_Area" localSheetId="6">'Кашперівка'!$A$1:$S$21</definedName>
    <definedName name="_xlnm.Print_Area" localSheetId="1">'л-дні'!$A$1:$O$34</definedName>
    <definedName name="_xlnm.Print_Area" localSheetId="5">'П''ятигори'!$A$1:$S$21</definedName>
    <definedName name="_xlnm.Print_Area" localSheetId="10">'Теліженці'!$A$1:$S$20</definedName>
    <definedName name="_xlnm.Print_Area" localSheetId="3">'Тетіїв'!$A$1:$S$43</definedName>
    <definedName name="_xlnm.Print_Area" localSheetId="0">'Титулка'!$A$1:$S$29</definedName>
    <definedName name="_xlnm.Print_Area" localSheetId="11">'ФП'!$A$1:$S$71</definedName>
  </definedNames>
  <calcPr fullCalcOnLoad="1"/>
</workbook>
</file>

<file path=xl/comments5.xml><?xml version="1.0" encoding="utf-8"?>
<comments xmlns="http://schemas.openxmlformats.org/spreadsheetml/2006/main">
  <authors>
    <author>Віктор</author>
  </authors>
  <commentList>
    <comment ref="L9" authorId="0">
      <text>
        <r>
          <rPr>
            <b/>
            <sz val="8"/>
            <rFont val="Tahoma"/>
            <family val="2"/>
          </rPr>
          <t>Віктор:</t>
        </r>
        <r>
          <rPr>
            <sz val="8"/>
            <rFont val="Tahoma"/>
            <family val="2"/>
          </rPr>
          <t xml:space="preserve">
не потрібно</t>
        </r>
      </text>
    </comment>
  </commentList>
</comments>
</file>

<file path=xl/sharedStrings.xml><?xml version="1.0" encoding="utf-8"?>
<sst xmlns="http://schemas.openxmlformats.org/spreadsheetml/2006/main" count="539" uniqueCount="202">
  <si>
    <t>№ пп</t>
  </si>
  <si>
    <t>Назва структурного підрозділу та посад</t>
  </si>
  <si>
    <t>Фонд заробі тної плати на місяць (грн.)</t>
  </si>
  <si>
    <t>Розряд</t>
  </si>
  <si>
    <t>(затверджені в межах чисельності)</t>
  </si>
  <si>
    <t>Головний бухгалтер</t>
  </si>
  <si>
    <t xml:space="preserve">Економіст </t>
  </si>
  <si>
    <t>Фахівці</t>
  </si>
  <si>
    <t>Молодша медсестра</t>
  </si>
  <si>
    <t>Лікарі</t>
  </si>
  <si>
    <t>Інші</t>
  </si>
  <si>
    <t>Молодші</t>
  </si>
  <si>
    <t>лікарі</t>
  </si>
  <si>
    <t>молодші</t>
  </si>
  <si>
    <t>інші</t>
  </si>
  <si>
    <t>С. Бурківці</t>
  </si>
  <si>
    <t xml:space="preserve">С. Скибенці </t>
  </si>
  <si>
    <t>С. Дзвеняче</t>
  </si>
  <si>
    <t xml:space="preserve">С. Степове </t>
  </si>
  <si>
    <t xml:space="preserve">С. Ненадиха </t>
  </si>
  <si>
    <t xml:space="preserve">С. Стадниця </t>
  </si>
  <si>
    <t xml:space="preserve">С. Тайниця </t>
  </si>
  <si>
    <t xml:space="preserve">С. Софіполь </t>
  </si>
  <si>
    <t xml:space="preserve">С. Михайлівка </t>
  </si>
  <si>
    <t xml:space="preserve">С. Клюки </t>
  </si>
  <si>
    <t xml:space="preserve">С. Дородка </t>
  </si>
  <si>
    <t xml:space="preserve">С. Дібрівка </t>
  </si>
  <si>
    <t xml:space="preserve">С. Високе </t>
  </si>
  <si>
    <t xml:space="preserve">С. Одайполе </t>
  </si>
  <si>
    <t xml:space="preserve">С. Хмелівка </t>
  </si>
  <si>
    <t xml:space="preserve">С. Кошів </t>
  </si>
  <si>
    <t xml:space="preserve">С. Черепинка </t>
  </si>
  <si>
    <t>С. Погреби</t>
  </si>
  <si>
    <t>С. Черепин</t>
  </si>
  <si>
    <t xml:space="preserve">Інші                  </t>
  </si>
  <si>
    <t>№  пп</t>
  </si>
  <si>
    <t>Місце знаходження</t>
  </si>
  <si>
    <t>К-ть закладів</t>
  </si>
  <si>
    <t>К-ть ліжок</t>
  </si>
  <si>
    <t>Потужнісь амб.полікл.</t>
  </si>
  <si>
    <t>К-ть л/днів на</t>
  </si>
  <si>
    <t xml:space="preserve">Разом </t>
  </si>
  <si>
    <t>В тому числі</t>
  </si>
  <si>
    <t>місто</t>
  </si>
  <si>
    <t>село</t>
  </si>
  <si>
    <t>штати</t>
  </si>
  <si>
    <t>ФЗП</t>
  </si>
  <si>
    <t>Штат од</t>
  </si>
  <si>
    <t>с.Денихівка</t>
  </si>
  <si>
    <t>Кашперівська амб заг. прак. – сім. мед.</t>
  </si>
  <si>
    <t>с.Кашперівка</t>
  </si>
  <si>
    <t xml:space="preserve">Горошківська амб. заг. практ.-сім. мед. </t>
  </si>
  <si>
    <t>с. Горошків</t>
  </si>
  <si>
    <t>с. Голодьки</t>
  </si>
  <si>
    <t>Титульний список</t>
  </si>
  <si>
    <t>"ЗАТВЕРДЖУЮ"</t>
  </si>
  <si>
    <t>С. Росішки</t>
  </si>
  <si>
    <t xml:space="preserve">Фельдшер </t>
  </si>
  <si>
    <t>Економіст</t>
  </si>
  <si>
    <t>ВСЬОГО:</t>
  </si>
  <si>
    <t>с.П'ятигори</t>
  </si>
  <si>
    <t>За стаж роботи</t>
  </si>
  <si>
    <t>Секретар</t>
  </si>
  <si>
    <t>Підвищення посадового окладу (грн.)</t>
  </si>
  <si>
    <t>Надбавки (грн.)</t>
  </si>
  <si>
    <t>Класність</t>
  </si>
  <si>
    <t>Доплати (грн)</t>
  </si>
  <si>
    <t>Бухгалтер з обліку основних засобів</t>
  </si>
  <si>
    <t>Водій</t>
  </si>
  <si>
    <t>Столяр</t>
  </si>
  <si>
    <t>Прибиральник службових приміщень</t>
  </si>
  <si>
    <t>Сестра медична ЗПСМ</t>
  </si>
  <si>
    <t>в т.ч.</t>
  </si>
  <si>
    <t>м.Тетіїв (амбулаторія в складі ЦПМСД)</t>
  </si>
  <si>
    <t>Оператор котельні</t>
  </si>
  <si>
    <t>Бухгалтер з розрахунку з працівниками</t>
  </si>
  <si>
    <t>Бухгалтер з обліку медикаментів, господарських матеріалів</t>
  </si>
  <si>
    <t>с. Теліженці</t>
  </si>
  <si>
    <t>Оператор ЕОМ</t>
  </si>
  <si>
    <t>Голодьківська  амб заг. прак. – сім. мед.</t>
  </si>
  <si>
    <t>с. Галайки</t>
  </si>
  <si>
    <t xml:space="preserve">Денихівська амб заг. прак. – сім. мед. </t>
  </si>
  <si>
    <t xml:space="preserve">Тетіївська амб заг. прак. – сім. мед. </t>
  </si>
  <si>
    <t>м.Тетіїв</t>
  </si>
  <si>
    <t>ПЛАН ЛІЖКА І ПЛАН ЛІЖКО-ДНІВ</t>
  </si>
  <si>
    <t>Ліжка</t>
  </si>
  <si>
    <t>Ліжко-дні</t>
  </si>
  <si>
    <t>ВСЬОГО</t>
  </si>
  <si>
    <t xml:space="preserve"> </t>
  </si>
  <si>
    <t xml:space="preserve">Оператор котельні </t>
  </si>
  <si>
    <t>РАЗОМ :</t>
  </si>
  <si>
    <t>с.Денихівка (амбулаторія в складі ЦПМСД)</t>
  </si>
  <si>
    <t>с.Кашперівка (амбулаторія в складі ЦПМСД)</t>
  </si>
  <si>
    <t>с.Голодьки (амбулаторія в складі ЦПМСД)</t>
  </si>
  <si>
    <t>с.Горошків (амбулаторія в складі ЦПМСД)</t>
  </si>
  <si>
    <t>с.Галайки (амбулаторія в складі ЦПМСД)</t>
  </si>
  <si>
    <t>с.Теліженці (амбулаторія в складі ЦПМСД)</t>
  </si>
  <si>
    <t>Посадовий оклад</t>
  </si>
  <si>
    <t>Лікар ЗПСМ</t>
  </si>
  <si>
    <t xml:space="preserve">Молодша медсестра </t>
  </si>
  <si>
    <t>Деззасоби</t>
  </si>
  <si>
    <t xml:space="preserve">Лікар ЗПСМ </t>
  </si>
  <si>
    <t>Тетіївська МА ЗПСМ</t>
  </si>
  <si>
    <t>Денихівська МА ЗПСМ</t>
  </si>
  <si>
    <t>Кашперівська МА ЗПСМ</t>
  </si>
  <si>
    <t>Інженер з охорони праці (метролог)</t>
  </si>
  <si>
    <t>П`ятигірська МА ЗПСМ</t>
  </si>
  <si>
    <t>Сестра медична  ЗПСМ</t>
  </si>
  <si>
    <t>с.П`ятигори (амбулаторія в складі ЦПМСД)</t>
  </si>
  <si>
    <t xml:space="preserve">фахівці </t>
  </si>
  <si>
    <t>В т. ч. спеціалісти немедики</t>
  </si>
  <si>
    <t>Галайківська амб. заг. практ.-сім. мед.</t>
  </si>
  <si>
    <t>Теліженецька амб. заг. практ.-сім. мед.</t>
  </si>
  <si>
    <t xml:space="preserve">П`ятигірська амб заг. прак. – сім. мед. </t>
  </si>
  <si>
    <t xml:space="preserve">Лікар ЗПСМ  </t>
  </si>
  <si>
    <t xml:space="preserve">Зав. ФП  </t>
  </si>
  <si>
    <t>Категорія</t>
  </si>
  <si>
    <t>КП "КНП "ТЕТІЇВСЬКИЙ ЦПМСД"</t>
  </si>
  <si>
    <t>Сестра-господиня</t>
  </si>
  <si>
    <t xml:space="preserve">Водій </t>
  </si>
  <si>
    <t xml:space="preserve">Водій  </t>
  </si>
  <si>
    <t xml:space="preserve"> КП "КНП "ТЕТІЇВСЬКИЙ ЦПМСД"</t>
  </si>
  <si>
    <t>Головна сестра медична</t>
  </si>
  <si>
    <t>Завідувач господарства</t>
  </si>
  <si>
    <t>Технік з експлуатації мереж і споруд водопровідно-каналізаційного господарства</t>
  </si>
  <si>
    <t>Механік, диспетчер автотранспорту</t>
  </si>
  <si>
    <t xml:space="preserve">Лікар-педіатр </t>
  </si>
  <si>
    <t xml:space="preserve">Лікар-терапевт </t>
  </si>
  <si>
    <t>Лікар-інтерн</t>
  </si>
  <si>
    <t>Молодша медсестра (санітарка)</t>
  </si>
  <si>
    <t>Черговий кабінет</t>
  </si>
  <si>
    <t xml:space="preserve">Фельдшер виїздний </t>
  </si>
  <si>
    <t>фахівці</t>
  </si>
  <si>
    <t>Фахівець з державних закупівель</t>
  </si>
  <si>
    <t xml:space="preserve">Зав. ФП </t>
  </si>
  <si>
    <t>з місячним фондом заробітної плати за посадовими окладами</t>
  </si>
  <si>
    <t>(посада)</t>
  </si>
  <si>
    <t>М.П.</t>
  </si>
  <si>
    <t xml:space="preserve">                 (підпис)</t>
  </si>
  <si>
    <t>Галина Лучко</t>
  </si>
  <si>
    <t>Статистик медичний</t>
  </si>
  <si>
    <t>Реєстратор медичний електронної реєстратури</t>
  </si>
  <si>
    <t>Директор</t>
  </si>
  <si>
    <t>_______________                    Олександр ПОЛІЩУК</t>
  </si>
  <si>
    <t>Олександр ПОЛІЩУК</t>
  </si>
  <si>
    <t>Інспектор з кадрів</t>
  </si>
  <si>
    <t>Юрисконсульт</t>
  </si>
  <si>
    <t>Посадовий оклад з підвищеннями</t>
  </si>
  <si>
    <t>Шкідливість</t>
  </si>
  <si>
    <t>ФП</t>
  </si>
  <si>
    <t>Фахівець з цивільного захисту</t>
  </si>
  <si>
    <t>Заступник директора з медичного обслуговування населення</t>
  </si>
  <si>
    <t>Адміністратор системи</t>
  </si>
  <si>
    <t xml:space="preserve">     "ПОГОДЖЕНО"</t>
  </si>
  <si>
    <t>ТЕТІЇВСЬКИЙ МІСЬКИЙ ГОЛОВА</t>
  </si>
  <si>
    <t>_______________                    Боглан БАЛАГУРА</t>
  </si>
  <si>
    <t>Електрик</t>
  </si>
  <si>
    <r>
      <t xml:space="preserve">штат в кількості   </t>
    </r>
    <r>
      <rPr>
        <u val="single"/>
        <sz val="12"/>
        <rFont val="Times New Roman"/>
        <family val="1"/>
      </rPr>
      <t>126,5</t>
    </r>
    <r>
      <rPr>
        <sz val="12"/>
        <rFont val="Times New Roman"/>
        <family val="1"/>
      </rPr>
      <t xml:space="preserve">   штатних одиниць</t>
    </r>
  </si>
  <si>
    <t>Головний лікар</t>
  </si>
  <si>
    <t>ДИРЕКТОР</t>
  </si>
  <si>
    <t>Директор КП "КНП "ТЕТІЇВСЬКИЙ ЦПМСД"</t>
  </si>
  <si>
    <t>Психолог</t>
  </si>
  <si>
    <t>Сестра медична патронажна</t>
  </si>
  <si>
    <t xml:space="preserve">01 січня 2024 року </t>
  </si>
  <si>
    <t>Комунального підприємства "Комунального некомерційного підприємства "Тетіївський центр первинної медико-санітарної допомоги" Тетіївської міської ради на 2024 рік з 01.01.2024 року</t>
  </si>
  <si>
    <t>до штатного розпису</t>
  </si>
  <si>
    <t>Найменування структурних підрозділів</t>
  </si>
  <si>
    <t>01.01.</t>
  </si>
  <si>
    <t>2024 рік</t>
  </si>
  <si>
    <r>
      <t xml:space="preserve">Працівники апарату управління </t>
    </r>
    <r>
      <rPr>
        <b/>
        <sz val="12"/>
        <rFont val="Times New Roman"/>
        <family val="1"/>
      </rPr>
      <t>(керівний склад центру ПМСД, інший адміністративно-управлінський та допоміжний персонал, інформаційно-аналітичний кабінет)</t>
    </r>
  </si>
  <si>
    <t>на 2024 рік</t>
  </si>
  <si>
    <t>Кількість штатних посад</t>
  </si>
  <si>
    <t>Завідування і старшинство</t>
  </si>
  <si>
    <t>За поліклініку</t>
  </si>
  <si>
    <t>За шкідливі умови праці 12 %</t>
  </si>
  <si>
    <t>Оперативне втручан  ня</t>
  </si>
  <si>
    <t>За санітарний авто  мобіль</t>
  </si>
  <si>
    <t>За тривалість роботи (участко  вість)</t>
  </si>
  <si>
    <r>
      <t>РОЗДІЛ І.</t>
    </r>
    <r>
      <rPr>
        <b/>
        <sz val="16"/>
        <rFont val="Times New Roman"/>
        <family val="1"/>
      </rPr>
      <t xml:space="preserve"> ШТАТИ  ПРАЦІВНИКІВ  АПАРАТУ  УПРАВЛІННЯ</t>
    </r>
  </si>
  <si>
    <r>
      <t>Підрозділ І.</t>
    </r>
    <r>
      <rPr>
        <sz val="14"/>
        <rFont val="Times New Roman"/>
        <family val="1"/>
      </rPr>
      <t>Керівний склад центру ПМСД</t>
    </r>
  </si>
  <si>
    <r>
      <t>Підрозділ ІІ.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Інший адміністративно-управлінський та допоміжний персонал</t>
    </r>
  </si>
  <si>
    <r>
      <rPr>
        <b/>
        <i/>
        <u val="single"/>
        <sz val="14"/>
        <rFont val="Times New Roman"/>
        <family val="1"/>
      </rPr>
      <t>Підрозділ ІІІ.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Інформаційно-аналітичний кабінет</t>
    </r>
  </si>
  <si>
    <t xml:space="preserve">лікарі  </t>
  </si>
  <si>
    <t>Шкідли  вість</t>
  </si>
  <si>
    <t>За полікліні  ку</t>
  </si>
  <si>
    <t>Постанова КМУ №28 від 13.01.2023р.</t>
  </si>
  <si>
    <t>Один мільйон шістсот дев'ять тисяч сто шістдесят п'ять гривень 82 копійки</t>
  </si>
  <si>
    <t>Додаток</t>
  </si>
  <si>
    <t xml:space="preserve">до рішення першого пленарного засідання 25 сесії </t>
  </si>
  <si>
    <t xml:space="preserve">                 Секретар міської ради                                                Наталія ІВАНЮТА</t>
  </si>
  <si>
    <t>Тетіївської міської ради VIII скликання 30.01.2024 №1151-25-VIII</t>
  </si>
  <si>
    <t>Додаток 1</t>
  </si>
  <si>
    <t>до штатного розпису КП "КНП "Тетіївський центр первинної медико-санітарної допомоги" Тетіївської міської ради на 2024 рік з 01.01.2024 року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</si>
  <si>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</si>
  <si>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</si>
  <si>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</si>
  <si>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</si>
  <si>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</si>
  <si>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</si>
  <si>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>Додаток 8</t>
  </si>
  <si>
    <t>Додаток 9</t>
  </si>
  <si>
    <t>Додаток 10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</si>
</sst>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0.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0.00000"/>
    <numFmt numFmtId="206" formatCode="0.0000"/>
    <numFmt numFmtId="207" formatCode="_-* #,##0_-;\-* #,##0_-;_-* &quot;-&quot;??_-;_-@_-"/>
    <numFmt numFmtId="208" formatCode="[$€-2]\ ###,000_);[Red]\([$€-2]\ ###,000\)"/>
    <numFmt numFmtId="209" formatCode="_-* #,##0.0\ _г_р_н_._-;\-* #,##0.0\ _г_р_н_._-;_-* &quot;-&quot;??\ _г_р_н_._-;_-@_-"/>
    <numFmt numFmtId="210" formatCode="_-* #,##0\ _г_р_н_._-;\-* #,##0\ _г_р_н_._-;_-* &quot;-&quot;??\ _г_р_н_._-;_-@_-"/>
    <numFmt numFmtId="211" formatCode="_-* #,##0.000\ _г_р_н_._-;\-* #,##0.000\ _г_р_н_._-;_-* &quot;-&quot;??\ _г_р_н_._-;_-@_-"/>
    <numFmt numFmtId="212" formatCode="0.000000"/>
    <numFmt numFmtId="213" formatCode="_-* #,##0.0_р_._-;\-* #,##0.0_р_._-;_-* &quot;-&quot;?_р_._-;_-@_-"/>
    <numFmt numFmtId="214" formatCode="#,##0.00\ _г_р_н_."/>
    <numFmt numFmtId="215" formatCode="[$-422]d\ mmmm\ yyyy&quot; р.&quot;"/>
    <numFmt numFmtId="216" formatCode="#,##0.0"/>
    <numFmt numFmtId="217" formatCode="#,##0.0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9"/>
      <name val="Arial Cyr"/>
      <family val="0"/>
    </font>
    <font>
      <sz val="16"/>
      <name val="Times New Roman"/>
      <family val="1"/>
    </font>
    <font>
      <sz val="11.5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53" fillId="4" borderId="0" applyNumberFormat="0" applyBorder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1" fillId="22" borderId="1" applyNumberFormat="0" applyAlignment="0" applyProtection="0"/>
    <xf numFmtId="0" fontId="2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9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22" borderId="9" applyNumberFormat="0" applyAlignment="0" applyProtection="0"/>
    <xf numFmtId="0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0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justify"/>
    </xf>
    <xf numFmtId="0" fontId="13" fillId="0" borderId="0" xfId="0" applyFont="1" applyAlignment="1">
      <alignment vertical="justify"/>
    </xf>
    <xf numFmtId="0" fontId="1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vertical="justify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 indent="15"/>
    </xf>
    <xf numFmtId="173" fontId="1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indent="10"/>
    </xf>
    <xf numFmtId="0" fontId="2" fillId="0" borderId="0" xfId="0" applyFont="1" applyAlignment="1">
      <alignment horizontal="left" indent="1"/>
    </xf>
    <xf numFmtId="2" fontId="7" fillId="0" borderId="0" xfId="0" applyNumberFormat="1" applyFont="1" applyAlignment="1">
      <alignment/>
    </xf>
    <xf numFmtId="0" fontId="18" fillId="0" borderId="0" xfId="0" applyFont="1" applyAlignment="1">
      <alignment horizontal="left" indent="7"/>
    </xf>
    <xf numFmtId="0" fontId="4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199" fontId="0" fillId="0" borderId="0" xfId="0" applyNumberFormat="1" applyAlignment="1">
      <alignment/>
    </xf>
    <xf numFmtId="0" fontId="19" fillId="0" borderId="12" xfId="0" applyFont="1" applyFill="1" applyBorder="1" applyAlignment="1">
      <alignment horizontal="center" vertical="top" wrapText="1"/>
    </xf>
    <xf numFmtId="199" fontId="20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19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center" vertical="justify" wrapText="1"/>
    </xf>
    <xf numFmtId="1" fontId="8" fillId="0" borderId="0" xfId="0" applyNumberFormat="1" applyFont="1" applyBorder="1" applyAlignment="1">
      <alignment horizontal="center" vertical="justify" wrapText="1"/>
    </xf>
    <xf numFmtId="2" fontId="8" fillId="0" borderId="0" xfId="0" applyNumberFormat="1" applyFont="1" applyBorder="1" applyAlignment="1">
      <alignment vertical="justify" wrapText="1"/>
    </xf>
    <xf numFmtId="199" fontId="8" fillId="0" borderId="0" xfId="0" applyNumberFormat="1" applyFont="1" applyBorder="1" applyAlignment="1">
      <alignment horizontal="center" vertical="justify" wrapText="1"/>
    </xf>
    <xf numFmtId="0" fontId="5" fillId="0" borderId="0" xfId="0" applyFont="1" applyBorder="1" applyAlignment="1">
      <alignment vertical="top" wrapText="1"/>
    </xf>
    <xf numFmtId="1" fontId="8" fillId="0" borderId="0" xfId="0" applyNumberFormat="1" applyFont="1" applyBorder="1" applyAlignment="1">
      <alignment horizontal="center" vertical="top" wrapText="1"/>
    </xf>
    <xf numFmtId="19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19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2" fontId="11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9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 horizontal="left" indent="7"/>
    </xf>
    <xf numFmtId="0" fontId="20" fillId="0" borderId="10" xfId="0" applyFont="1" applyBorder="1" applyAlignment="1">
      <alignment horizontal="left"/>
    </xf>
    <xf numFmtId="0" fontId="16" fillId="0" borderId="0" xfId="0" applyFont="1" applyAlignment="1">
      <alignment horizontal="right"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vertical="justify"/>
    </xf>
    <xf numFmtId="2" fontId="17" fillId="0" borderId="0" xfId="0" applyNumberFormat="1" applyFont="1" applyAlignment="1">
      <alignment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199" fontId="5" fillId="0" borderId="0" xfId="0" applyNumberFormat="1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justify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99" fontId="1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8" fillId="24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indent="1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6" fillId="0" borderId="0" xfId="0" applyFont="1" applyBorder="1" applyAlignment="1">
      <alignment/>
    </xf>
    <xf numFmtId="199" fontId="1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99" fontId="1" fillId="0" borderId="12" xfId="0" applyNumberFormat="1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28" fillId="0" borderId="12" xfId="0" applyNumberFormat="1" applyFont="1" applyBorder="1" applyAlignment="1">
      <alignment horizontal="center" wrapText="1"/>
    </xf>
    <xf numFmtId="199" fontId="20" fillId="0" borderId="12" xfId="0" applyNumberFormat="1" applyFont="1" applyBorder="1" applyAlignment="1">
      <alignment horizontal="center" wrapText="1"/>
    </xf>
    <xf numFmtId="2" fontId="20" fillId="0" borderId="12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199" fontId="8" fillId="24" borderId="16" xfId="0" applyNumberFormat="1" applyFont="1" applyFill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top" wrapText="1"/>
    </xf>
    <xf numFmtId="0" fontId="8" fillId="24" borderId="19" xfId="0" applyFont="1" applyFill="1" applyBorder="1" applyAlignment="1">
      <alignment vertical="center" wrapText="1"/>
    </xf>
    <xf numFmtId="0" fontId="5" fillId="24" borderId="16" xfId="0" applyFont="1" applyFill="1" applyBorder="1" applyAlignment="1">
      <alignment vertical="center" wrapText="1"/>
    </xf>
    <xf numFmtId="0" fontId="8" fillId="24" borderId="16" xfId="0" applyFont="1" applyFill="1" applyBorder="1" applyAlignment="1">
      <alignment horizontal="center" vertical="center" wrapText="1"/>
    </xf>
    <xf numFmtId="1" fontId="8" fillId="24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2" fillId="0" borderId="0" xfId="0" applyFont="1" applyBorder="1" applyAlignment="1">
      <alignment/>
    </xf>
    <xf numFmtId="0" fontId="8" fillId="0" borderId="0" xfId="0" applyFont="1" applyAlignment="1">
      <alignment vertical="justify"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" fillId="0" borderId="13" xfId="0" applyFont="1" applyBorder="1" applyAlignment="1">
      <alignment horizontal="right" wrapText="1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right" wrapText="1"/>
    </xf>
    <xf numFmtId="0" fontId="11" fillId="24" borderId="0" xfId="0" applyFont="1" applyFill="1" applyAlignment="1">
      <alignment vertical="justify"/>
    </xf>
    <xf numFmtId="3" fontId="8" fillId="24" borderId="16" xfId="0" applyNumberFormat="1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vertical="center" wrapText="1"/>
    </xf>
    <xf numFmtId="0" fontId="8" fillId="24" borderId="19" xfId="0" applyFont="1" applyFill="1" applyBorder="1" applyAlignment="1">
      <alignment wrapText="1"/>
    </xf>
    <xf numFmtId="0" fontId="5" fillId="24" borderId="16" xfId="0" applyFont="1" applyFill="1" applyBorder="1" applyAlignment="1">
      <alignment horizontal="right" vertical="center" wrapText="1"/>
    </xf>
    <xf numFmtId="199" fontId="5" fillId="24" borderId="16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right" wrapText="1"/>
    </xf>
    <xf numFmtId="0" fontId="4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 horizontal="left"/>
    </xf>
    <xf numFmtId="199" fontId="1" fillId="24" borderId="10" xfId="0" applyNumberFormat="1" applyFont="1" applyFill="1" applyBorder="1" applyAlignment="1">
      <alignment horizontal="center" wrapText="1"/>
    </xf>
    <xf numFmtId="4" fontId="27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199" fontId="1" fillId="24" borderId="11" xfId="0" applyNumberFormat="1" applyFont="1" applyFill="1" applyBorder="1" applyAlignment="1">
      <alignment horizontal="center" wrapText="1"/>
    </xf>
    <xf numFmtId="4" fontId="1" fillId="24" borderId="11" xfId="0" applyNumberFormat="1" applyFont="1" applyFill="1" applyBorder="1" applyAlignment="1">
      <alignment horizontal="center" wrapText="1"/>
    </xf>
    <xf numFmtId="4" fontId="27" fillId="24" borderId="11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 wrapText="1"/>
    </xf>
    <xf numFmtId="4" fontId="1" fillId="24" borderId="12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199" fontId="20" fillId="0" borderId="10" xfId="0" applyNumberFormat="1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" wrapText="1"/>
    </xf>
    <xf numFmtId="199" fontId="20" fillId="24" borderId="10" xfId="0" applyNumberFormat="1" applyFont="1" applyFill="1" applyBorder="1" applyAlignment="1">
      <alignment horizontal="center" wrapText="1"/>
    </xf>
    <xf numFmtId="4" fontId="20" fillId="24" borderId="10" xfId="0" applyNumberFormat="1" applyFont="1" applyFill="1" applyBorder="1" applyAlignment="1">
      <alignment horizontal="center" wrapText="1"/>
    </xf>
    <xf numFmtId="4" fontId="33" fillId="0" borderId="10" xfId="0" applyNumberFormat="1" applyFont="1" applyBorder="1" applyAlignment="1">
      <alignment/>
    </xf>
    <xf numFmtId="4" fontId="28" fillId="0" borderId="10" xfId="0" applyNumberFormat="1" applyFont="1" applyBorder="1" applyAlignment="1">
      <alignment horizontal="left"/>
    </xf>
    <xf numFmtId="199" fontId="2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28" fillId="0" borderId="12" xfId="0" applyNumberFormat="1" applyFont="1" applyBorder="1" applyAlignment="1">
      <alignment horizontal="center" wrapText="1"/>
    </xf>
    <xf numFmtId="2" fontId="28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1" fillId="0" borderId="12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20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199" fontId="20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2" fontId="20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199" fontId="1" fillId="24" borderId="20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right" wrapText="1"/>
    </xf>
    <xf numFmtId="4" fontId="6" fillId="24" borderId="10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" fontId="28" fillId="0" borderId="12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left" wrapText="1"/>
    </xf>
    <xf numFmtId="4" fontId="28" fillId="0" borderId="10" xfId="0" applyNumberFormat="1" applyFont="1" applyBorder="1" applyAlignment="1">
      <alignment horizontal="center" wrapText="1"/>
    </xf>
    <xf numFmtId="4" fontId="20" fillId="0" borderId="12" xfId="0" applyNumberFormat="1" applyFont="1" applyBorder="1" applyAlignment="1">
      <alignment horizontal="center" wrapText="1"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left" wrapText="1"/>
    </xf>
    <xf numFmtId="199" fontId="1" fillId="24" borderId="10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/>
    </xf>
    <xf numFmtId="4" fontId="1" fillId="24" borderId="12" xfId="0" applyNumberFormat="1" applyFont="1" applyFill="1" applyBorder="1" applyAlignment="1">
      <alignment horizontal="center" wrapText="1"/>
    </xf>
    <xf numFmtId="4" fontId="1" fillId="24" borderId="10" xfId="61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0" fillId="0" borderId="10" xfId="0" applyNumberFormat="1" applyFont="1" applyFill="1" applyBorder="1" applyAlignment="1">
      <alignment horizontal="center"/>
    </xf>
    <xf numFmtId="4" fontId="20" fillId="0" borderId="10" xfId="61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99" fontId="28" fillId="0" borderId="10" xfId="0" applyNumberFormat="1" applyFont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4" fontId="28" fillId="0" borderId="10" xfId="6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/>
    </xf>
    <xf numFmtId="2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99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8" fillId="0" borderId="12" xfId="61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right" wrapText="1"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6" fillId="0" borderId="0" xfId="0" applyFont="1" applyAlignment="1">
      <alignment horizontal="left"/>
    </xf>
    <xf numFmtId="0" fontId="1" fillId="24" borderId="10" xfId="0" applyFont="1" applyFill="1" applyBorder="1" applyAlignment="1">
      <alignment horizontal="left"/>
    </xf>
    <xf numFmtId="4" fontId="1" fillId="24" borderId="10" xfId="0" applyNumberFormat="1" applyFont="1" applyFill="1" applyBorder="1" applyAlignment="1">
      <alignment/>
    </xf>
    <xf numFmtId="199" fontId="30" fillId="24" borderId="16" xfId="0" applyNumberFormat="1" applyFont="1" applyFill="1" applyBorder="1" applyAlignment="1">
      <alignment horizontal="center" vertical="center" wrapText="1"/>
    </xf>
    <xf numFmtId="199" fontId="31" fillId="24" borderId="16" xfId="0" applyNumberFormat="1" applyFont="1" applyFill="1" applyBorder="1" applyAlignment="1">
      <alignment horizontal="center" vertical="center" wrapText="1"/>
    </xf>
    <xf numFmtId="2" fontId="5" fillId="24" borderId="16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wrapText="1"/>
    </xf>
    <xf numFmtId="0" fontId="0" fillId="25" borderId="0" xfId="0" applyFill="1" applyAlignment="1">
      <alignment/>
    </xf>
    <xf numFmtId="0" fontId="11" fillId="25" borderId="0" xfId="0" applyFont="1" applyFill="1" applyAlignment="1">
      <alignment vertical="justify"/>
    </xf>
    <xf numFmtId="2" fontId="11" fillId="25" borderId="0" xfId="0" applyNumberFormat="1" applyFont="1" applyFill="1" applyAlignment="1">
      <alignment vertical="justify"/>
    </xf>
    <xf numFmtId="199" fontId="11" fillId="25" borderId="0" xfId="0" applyNumberFormat="1" applyFont="1" applyFill="1" applyAlignment="1">
      <alignment vertical="justify"/>
    </xf>
    <xf numFmtId="0" fontId="11" fillId="25" borderId="0" xfId="0" applyFont="1" applyFill="1" applyAlignment="1">
      <alignment/>
    </xf>
    <xf numFmtId="0" fontId="5" fillId="24" borderId="16" xfId="0" applyFont="1" applyFill="1" applyBorder="1" applyAlignment="1">
      <alignment horizontal="center" vertical="center" wrapText="1"/>
    </xf>
    <xf numFmtId="1" fontId="5" fillId="24" borderId="16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24" borderId="19" xfId="0" applyFont="1" applyFill="1" applyBorder="1" applyAlignment="1">
      <alignment vertical="top" wrapText="1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2" fontId="20" fillId="0" borderId="0" xfId="0" applyNumberFormat="1" applyFont="1" applyFill="1" applyAlignment="1">
      <alignment/>
    </xf>
    <xf numFmtId="199" fontId="20" fillId="0" borderId="0" xfId="0" applyNumberFormat="1" applyFont="1" applyAlignment="1">
      <alignment/>
    </xf>
    <xf numFmtId="2" fontId="0" fillId="25" borderId="0" xfId="0" applyNumberFormat="1" applyFill="1" applyAlignment="1">
      <alignment/>
    </xf>
    <xf numFmtId="199" fontId="1" fillId="24" borderId="12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4" fontId="10" fillId="0" borderId="0" xfId="0" applyNumberFormat="1" applyFont="1" applyAlignment="1">
      <alignment horizontal="right"/>
    </xf>
    <xf numFmtId="0" fontId="19" fillId="0" borderId="10" xfId="0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199" fontId="1" fillId="24" borderId="12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horizontal="center" wrapText="1"/>
    </xf>
    <xf numFmtId="4" fontId="1" fillId="0" borderId="12" xfId="61" applyNumberFormat="1" applyFont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199" fontId="20" fillId="0" borderId="11" xfId="0" applyNumberFormat="1" applyFont="1" applyBorder="1" applyAlignment="1">
      <alignment horizontal="center" wrapText="1"/>
    </xf>
    <xf numFmtId="2" fontId="28" fillId="0" borderId="11" xfId="0" applyNumberFormat="1" applyFont="1" applyBorder="1" applyAlignment="1">
      <alignment horizontal="center" wrapText="1"/>
    </xf>
    <xf numFmtId="4" fontId="20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 vertical="top" wrapText="1"/>
    </xf>
    <xf numFmtId="0" fontId="1" fillId="24" borderId="13" xfId="0" applyFont="1" applyFill="1" applyBorder="1" applyAlignment="1">
      <alignment horizontal="right" wrapText="1"/>
    </xf>
    <xf numFmtId="0" fontId="1" fillId="24" borderId="12" xfId="0" applyFont="1" applyFill="1" applyBorder="1" applyAlignment="1">
      <alignment wrapText="1"/>
    </xf>
    <xf numFmtId="4" fontId="1" fillId="24" borderId="12" xfId="61" applyNumberFormat="1" applyFont="1" applyFill="1" applyBorder="1" applyAlignment="1">
      <alignment horizontal="center" wrapText="1"/>
    </xf>
    <xf numFmtId="0" fontId="1" fillId="24" borderId="11" xfId="0" applyFont="1" applyFill="1" applyBorder="1" applyAlignment="1">
      <alignment wrapText="1"/>
    </xf>
    <xf numFmtId="2" fontId="1" fillId="24" borderId="12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right" wrapText="1"/>
    </xf>
    <xf numFmtId="0" fontId="20" fillId="24" borderId="12" xfId="0" applyFont="1" applyFill="1" applyBorder="1" applyAlignment="1">
      <alignment wrapText="1"/>
    </xf>
    <xf numFmtId="199" fontId="20" fillId="24" borderId="10" xfId="0" applyNumberFormat="1" applyFont="1" applyFill="1" applyBorder="1" applyAlignment="1">
      <alignment horizontal="center" wrapText="1"/>
    </xf>
    <xf numFmtId="4" fontId="28" fillId="24" borderId="10" xfId="0" applyNumberFormat="1" applyFont="1" applyFill="1" applyBorder="1" applyAlignment="1">
      <alignment horizontal="center" wrapText="1"/>
    </xf>
    <xf numFmtId="4" fontId="28" fillId="24" borderId="12" xfId="0" applyNumberFormat="1" applyFont="1" applyFill="1" applyBorder="1" applyAlignment="1">
      <alignment horizontal="center" wrapText="1"/>
    </xf>
    <xf numFmtId="4" fontId="20" fillId="24" borderId="10" xfId="61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justify"/>
    </xf>
    <xf numFmtId="199" fontId="2" fillId="0" borderId="0" xfId="0" applyNumberFormat="1" applyFont="1" applyBorder="1" applyAlignment="1">
      <alignment horizontal="center" vertical="justify"/>
    </xf>
    <xf numFmtId="0" fontId="8" fillId="24" borderId="16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justify" wrapText="1"/>
    </xf>
    <xf numFmtId="0" fontId="19" fillId="0" borderId="11" xfId="0" applyFont="1" applyBorder="1" applyAlignment="1">
      <alignment horizontal="center" vertical="justify" wrapText="1"/>
    </xf>
    <xf numFmtId="0" fontId="1" fillId="0" borderId="13" xfId="0" applyFont="1" applyBorder="1" applyAlignment="1">
      <alignment wrapText="1"/>
    </xf>
    <xf numFmtId="199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28" fillId="0" borderId="10" xfId="0" applyFont="1" applyBorder="1" applyAlignment="1">
      <alignment wrapText="1"/>
    </xf>
    <xf numFmtId="4" fontId="28" fillId="0" borderId="10" xfId="0" applyNumberFormat="1" applyFont="1" applyBorder="1" applyAlignment="1">
      <alignment horizontal="center" wrapText="1"/>
    </xf>
    <xf numFmtId="4" fontId="20" fillId="0" borderId="10" xfId="61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4" fontId="2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173" fontId="1" fillId="0" borderId="12" xfId="61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4" fontId="20" fillId="0" borderId="12" xfId="0" applyNumberFormat="1" applyFont="1" applyBorder="1" applyAlignment="1">
      <alignment horizontal="right" wrapText="1"/>
    </xf>
    <xf numFmtId="2" fontId="28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1" fillId="0" borderId="12" xfId="61" applyNumberFormat="1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199" fontId="20" fillId="0" borderId="12" xfId="0" applyNumberFormat="1" applyFont="1" applyBorder="1" applyAlignment="1">
      <alignment horizontal="center" wrapText="1"/>
    </xf>
    <xf numFmtId="4" fontId="20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" fillId="0" borderId="20" xfId="0" applyFont="1" applyBorder="1" applyAlignment="1">
      <alignment wrapText="1"/>
    </xf>
    <xf numFmtId="4" fontId="1" fillId="0" borderId="2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" fontId="28" fillId="0" borderId="12" xfId="0" applyNumberFormat="1" applyFont="1" applyBorder="1" applyAlignment="1">
      <alignment horizontal="center" wrapText="1"/>
    </xf>
    <xf numFmtId="4" fontId="28" fillId="0" borderId="12" xfId="0" applyNumberFormat="1" applyFont="1" applyBorder="1" applyAlignment="1">
      <alignment wrapText="1"/>
    </xf>
    <xf numFmtId="4" fontId="1" fillId="0" borderId="10" xfId="61" applyNumberFormat="1" applyFont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99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24" borderId="12" xfId="61" applyNumberFormat="1" applyFont="1" applyFill="1" applyBorder="1" applyAlignment="1">
      <alignment horizontal="center" wrapText="1"/>
    </xf>
    <xf numFmtId="199" fontId="20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4" fontId="20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4" fillId="24" borderId="12" xfId="0" applyFont="1" applyFill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wrapText="1"/>
    </xf>
    <xf numFmtId="2" fontId="29" fillId="24" borderId="0" xfId="0" applyNumberFormat="1" applyFont="1" applyFill="1" applyAlignment="1">
      <alignment horizontal="center"/>
    </xf>
    <xf numFmtId="3" fontId="5" fillId="24" borderId="16" xfId="0" applyNumberFormat="1" applyFont="1" applyFill="1" applyBorder="1" applyAlignment="1">
      <alignment horizontal="center" vertical="center" wrapText="1"/>
    </xf>
    <xf numFmtId="216" fontId="5" fillId="24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justify"/>
    </xf>
    <xf numFmtId="2" fontId="28" fillId="0" borderId="10" xfId="0" applyNumberFormat="1" applyFont="1" applyBorder="1" applyAlignment="1">
      <alignment horizontal="center" wrapText="1"/>
    </xf>
    <xf numFmtId="0" fontId="54" fillId="24" borderId="0" xfId="0" applyFont="1" applyFill="1" applyAlignment="1">
      <alignment/>
    </xf>
    <xf numFmtId="2" fontId="54" fillId="24" borderId="0" xfId="0" applyNumberFormat="1" applyFont="1" applyFill="1" applyAlignment="1">
      <alignment/>
    </xf>
    <xf numFmtId="0" fontId="2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0" fontId="16" fillId="24" borderId="0" xfId="0" applyFont="1" applyFill="1" applyAlignment="1">
      <alignment horizontal="left"/>
    </xf>
    <xf numFmtId="0" fontId="16" fillId="24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199" fontId="5" fillId="24" borderId="24" xfId="0" applyNumberFormat="1" applyFont="1" applyFill="1" applyBorder="1" applyAlignment="1">
      <alignment horizontal="center" vertical="center" wrapText="1"/>
    </xf>
    <xf numFmtId="199" fontId="5" fillId="24" borderId="25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3" fontId="5" fillId="24" borderId="29" xfId="0" applyNumberFormat="1" applyFont="1" applyFill="1" applyBorder="1" applyAlignment="1">
      <alignment horizontal="center" vertical="justify" wrapText="1"/>
    </xf>
    <xf numFmtId="3" fontId="5" fillId="24" borderId="15" xfId="0" applyNumberFormat="1" applyFont="1" applyFill="1" applyBorder="1" applyAlignment="1">
      <alignment horizontal="center" vertical="justify" wrapText="1"/>
    </xf>
    <xf numFmtId="3" fontId="5" fillId="24" borderId="11" xfId="0" applyNumberFormat="1" applyFont="1" applyFill="1" applyBorder="1" applyAlignment="1">
      <alignment horizontal="center" vertical="justify" wrapText="1"/>
    </xf>
    <xf numFmtId="0" fontId="5" fillId="0" borderId="29" xfId="0" applyFont="1" applyBorder="1" applyAlignment="1">
      <alignment horizontal="left" vertical="justify" wrapText="1"/>
    </xf>
    <xf numFmtId="0" fontId="5" fillId="0" borderId="15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justify" wrapText="1"/>
    </xf>
    <xf numFmtId="199" fontId="8" fillId="0" borderId="0" xfId="61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justify" wrapText="1"/>
    </xf>
    <xf numFmtId="0" fontId="5" fillId="24" borderId="29" xfId="0" applyFont="1" applyFill="1" applyBorder="1" applyAlignment="1">
      <alignment horizontal="center" vertical="justify" wrapText="1"/>
    </xf>
    <xf numFmtId="0" fontId="5" fillId="24" borderId="15" xfId="0" applyFont="1" applyFill="1" applyBorder="1" applyAlignment="1">
      <alignment horizontal="center" vertical="justify" wrapText="1"/>
    </xf>
    <xf numFmtId="0" fontId="5" fillId="24" borderId="11" xfId="0" applyFont="1" applyFill="1" applyBorder="1" applyAlignment="1">
      <alignment horizontal="center" vertical="justify" wrapText="1"/>
    </xf>
    <xf numFmtId="0" fontId="8" fillId="0" borderId="0" xfId="0" applyFont="1" applyBorder="1" applyAlignment="1">
      <alignment horizontal="left" vertical="top" wrapText="1"/>
    </xf>
    <xf numFmtId="199" fontId="5" fillId="0" borderId="0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horizontal="left" vertical="justify" wrapText="1"/>
    </xf>
    <xf numFmtId="0" fontId="8" fillId="0" borderId="15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0" fontId="8" fillId="24" borderId="29" xfId="0" applyFont="1" applyFill="1" applyBorder="1" applyAlignment="1">
      <alignment horizontal="center" vertical="justify" wrapText="1"/>
    </xf>
    <xf numFmtId="0" fontId="8" fillId="24" borderId="15" xfId="0" applyFont="1" applyFill="1" applyBorder="1" applyAlignment="1">
      <alignment horizontal="center" vertical="justify" wrapText="1"/>
    </xf>
    <xf numFmtId="0" fontId="8" fillId="24" borderId="11" xfId="0" applyFont="1" applyFill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3" fontId="8" fillId="24" borderId="29" xfId="0" applyNumberFormat="1" applyFont="1" applyFill="1" applyBorder="1" applyAlignment="1">
      <alignment horizontal="center" vertical="justify" wrapText="1"/>
    </xf>
    <xf numFmtId="3" fontId="8" fillId="24" borderId="15" xfId="0" applyNumberFormat="1" applyFont="1" applyFill="1" applyBorder="1" applyAlignment="1">
      <alignment horizontal="center" vertical="justify" wrapText="1"/>
    </xf>
    <xf numFmtId="3" fontId="8" fillId="24" borderId="11" xfId="0" applyNumberFormat="1" applyFont="1" applyFill="1" applyBorder="1" applyAlignment="1">
      <alignment horizontal="center" vertical="justify" wrapText="1"/>
    </xf>
    <xf numFmtId="0" fontId="26" fillId="0" borderId="0" xfId="0" applyFont="1" applyAlignment="1">
      <alignment horizontal="center" wrapText="1"/>
    </xf>
    <xf numFmtId="0" fontId="8" fillId="0" borderId="29" xfId="0" applyFont="1" applyBorder="1" applyAlignment="1">
      <alignment horizontal="center" vertical="justify" wrapText="1"/>
    </xf>
    <xf numFmtId="0" fontId="8" fillId="0" borderId="15" xfId="0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26" fillId="0" borderId="0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24" borderId="0" xfId="0" applyFont="1" applyFill="1" applyAlignment="1">
      <alignment horizontal="center"/>
    </xf>
    <xf numFmtId="2" fontId="34" fillId="24" borderId="0" xfId="0" applyNumberFormat="1" applyFont="1" applyFill="1" applyAlignment="1">
      <alignment horizontal="right"/>
    </xf>
    <xf numFmtId="0" fontId="1" fillId="24" borderId="0" xfId="0" applyFont="1" applyFill="1" applyAlignment="1">
      <alignment horizontal="left"/>
    </xf>
    <xf numFmtId="0" fontId="56" fillId="24" borderId="0" xfId="0" applyFont="1" applyFill="1" applyBorder="1" applyAlignment="1">
      <alignment wrapText="1"/>
    </xf>
    <xf numFmtId="0" fontId="16" fillId="24" borderId="14" xfId="0" applyFont="1" applyFill="1" applyBorder="1" applyAlignment="1">
      <alignment/>
    </xf>
    <xf numFmtId="0" fontId="3" fillId="0" borderId="2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4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9" fillId="0" borderId="0" xfId="0" applyFont="1" applyAlignment="1">
      <alignment horizontal="center" vertical="justify" wrapText="1"/>
    </xf>
    <xf numFmtId="0" fontId="13" fillId="0" borderId="0" xfId="0" applyFont="1" applyAlignment="1">
      <alignment horizontal="center" vertical="justify" wrapText="1"/>
    </xf>
    <xf numFmtId="0" fontId="9" fillId="0" borderId="2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X27"/>
  <sheetViews>
    <sheetView view="pageBreakPreview" zoomScale="70" zoomScaleNormal="75" zoomScaleSheetLayoutView="70" zoomScalePageLayoutView="0" workbookViewId="0" topLeftCell="A1">
      <selection activeCell="A8" sqref="A8:S8"/>
    </sheetView>
  </sheetViews>
  <sheetFormatPr defaultColWidth="9.00390625" defaultRowHeight="12.75"/>
  <cols>
    <col min="1" max="1" width="4.625" style="0" customWidth="1"/>
    <col min="2" max="2" width="50.625" style="0" customWidth="1"/>
    <col min="3" max="3" width="16.625" style="0" customWidth="1"/>
    <col min="4" max="5" width="10.625" style="0" customWidth="1"/>
    <col min="6" max="7" width="7.625" style="0" customWidth="1"/>
    <col min="8" max="8" width="10.625" style="0" customWidth="1"/>
    <col min="9" max="18" width="10.375" style="0" customWidth="1"/>
    <col min="19" max="19" width="12.625" style="0" customWidth="1"/>
  </cols>
  <sheetData>
    <row r="1" spans="1:19" ht="35.25" customHeight="1">
      <c r="A1" s="293"/>
      <c r="B1" s="399"/>
      <c r="C1" s="399"/>
      <c r="D1" s="399"/>
      <c r="E1" s="138"/>
      <c r="F1" s="138"/>
      <c r="G1" s="138"/>
      <c r="H1" s="293"/>
      <c r="I1" s="294"/>
      <c r="L1" s="268"/>
      <c r="M1" s="268" t="s">
        <v>187</v>
      </c>
      <c r="N1" s="268"/>
      <c r="O1" s="268"/>
      <c r="P1" s="268"/>
      <c r="Q1" s="268"/>
      <c r="R1" s="393"/>
      <c r="S1" s="393"/>
    </row>
    <row r="2" spans="1:19" ht="21" customHeight="1">
      <c r="A2" s="293"/>
      <c r="B2" s="400"/>
      <c r="C2" s="400"/>
      <c r="D2" s="400"/>
      <c r="E2" s="138"/>
      <c r="F2" s="138"/>
      <c r="G2" s="138"/>
      <c r="H2" s="293"/>
      <c r="I2" s="294"/>
      <c r="L2" s="272"/>
      <c r="M2" s="272" t="s">
        <v>188</v>
      </c>
      <c r="N2" s="272"/>
      <c r="O2" s="272"/>
      <c r="P2" s="272"/>
      <c r="Q2" s="272"/>
      <c r="R2" s="393"/>
      <c r="S2" s="393"/>
    </row>
    <row r="3" spans="1:19" ht="22.5" customHeight="1">
      <c r="A3" s="293"/>
      <c r="B3" s="272"/>
      <c r="C3" s="272"/>
      <c r="D3" s="272"/>
      <c r="E3" s="272"/>
      <c r="F3" s="272"/>
      <c r="G3" s="272"/>
      <c r="H3" s="293"/>
      <c r="I3" s="294"/>
      <c r="L3" s="272"/>
      <c r="M3" s="272" t="s">
        <v>190</v>
      </c>
      <c r="N3" s="272"/>
      <c r="O3" s="272"/>
      <c r="P3" s="272"/>
      <c r="Q3" s="272"/>
      <c r="R3" s="393"/>
      <c r="S3" s="393"/>
    </row>
    <row r="4" spans="1:19" ht="14.25" customHeight="1">
      <c r="A4" s="18"/>
      <c r="B4" s="119"/>
      <c r="C4" s="119"/>
      <c r="D4" s="119"/>
      <c r="E4" s="119"/>
      <c r="F4" s="119"/>
      <c r="G4" s="119"/>
      <c r="H4" s="18"/>
      <c r="L4" s="272"/>
      <c r="M4" s="272"/>
      <c r="N4" s="272"/>
      <c r="O4" s="272"/>
      <c r="P4" s="272"/>
      <c r="Q4" s="272"/>
      <c r="R4" s="393"/>
      <c r="S4" s="393"/>
    </row>
    <row r="5" spans="1:19" ht="18">
      <c r="A5" s="18"/>
      <c r="B5" s="119"/>
      <c r="C5" s="119"/>
      <c r="D5" s="119"/>
      <c r="E5" s="119"/>
      <c r="F5" s="119"/>
      <c r="G5" s="119"/>
      <c r="L5" s="392"/>
      <c r="M5" s="392"/>
      <c r="N5" s="392"/>
      <c r="O5" s="392"/>
      <c r="P5" s="392"/>
      <c r="Q5" s="392"/>
      <c r="R5" s="393"/>
      <c r="S5" s="393"/>
    </row>
    <row r="6" spans="1:19" ht="16.5" customHeight="1">
      <c r="A6" s="20"/>
      <c r="H6" s="401" t="s">
        <v>54</v>
      </c>
      <c r="I6" s="401"/>
      <c r="J6" s="401"/>
      <c r="L6" s="391"/>
      <c r="M6" s="391"/>
      <c r="N6" s="391"/>
      <c r="O6" s="391"/>
      <c r="P6" s="391"/>
      <c r="Q6" s="391"/>
      <c r="R6" s="120"/>
      <c r="S6" s="393"/>
    </row>
    <row r="7" spans="8:19" ht="24.75" customHeight="1">
      <c r="H7" s="401" t="s">
        <v>165</v>
      </c>
      <c r="I7" s="401"/>
      <c r="J7" s="401"/>
      <c r="L7" s="26"/>
      <c r="M7" s="26"/>
      <c r="N7" s="26"/>
      <c r="O7" s="26"/>
      <c r="P7" s="26"/>
      <c r="Q7" s="26"/>
      <c r="R7" s="26"/>
      <c r="S7" s="26"/>
    </row>
    <row r="8" spans="1:19" ht="29.25" customHeight="1" thickBot="1">
      <c r="A8" s="403" t="s">
        <v>164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</row>
    <row r="9" spans="1:19" s="15" customFormat="1" ht="49.5" customHeight="1" thickBot="1">
      <c r="A9" s="410" t="s">
        <v>35</v>
      </c>
      <c r="B9" s="410" t="s">
        <v>166</v>
      </c>
      <c r="C9" s="410" t="s">
        <v>36</v>
      </c>
      <c r="D9" s="410" t="s">
        <v>37</v>
      </c>
      <c r="E9" s="410" t="s">
        <v>38</v>
      </c>
      <c r="F9" s="407" t="s">
        <v>39</v>
      </c>
      <c r="G9" s="408"/>
      <c r="H9" s="117" t="s">
        <v>40</v>
      </c>
      <c r="I9" s="407" t="s">
        <v>41</v>
      </c>
      <c r="J9" s="408"/>
      <c r="K9" s="407" t="s">
        <v>42</v>
      </c>
      <c r="L9" s="409"/>
      <c r="M9" s="409"/>
      <c r="N9" s="409"/>
      <c r="O9" s="409"/>
      <c r="P9" s="409"/>
      <c r="Q9" s="409"/>
      <c r="R9" s="408"/>
      <c r="S9" s="410" t="s">
        <v>110</v>
      </c>
    </row>
    <row r="10" spans="1:19" s="15" customFormat="1" ht="19.5" customHeight="1" thickBot="1">
      <c r="A10" s="411"/>
      <c r="B10" s="411"/>
      <c r="C10" s="411"/>
      <c r="D10" s="411"/>
      <c r="E10" s="411"/>
      <c r="F10" s="410" t="s">
        <v>43</v>
      </c>
      <c r="G10" s="410" t="s">
        <v>44</v>
      </c>
      <c r="H10" s="118" t="s">
        <v>167</v>
      </c>
      <c r="I10" s="410" t="s">
        <v>45</v>
      </c>
      <c r="J10" s="410" t="s">
        <v>46</v>
      </c>
      <c r="K10" s="407" t="s">
        <v>12</v>
      </c>
      <c r="L10" s="408"/>
      <c r="M10" s="407" t="s">
        <v>109</v>
      </c>
      <c r="N10" s="408"/>
      <c r="O10" s="407" t="s">
        <v>13</v>
      </c>
      <c r="P10" s="408"/>
      <c r="Q10" s="407" t="s">
        <v>14</v>
      </c>
      <c r="R10" s="408"/>
      <c r="S10" s="411"/>
    </row>
    <row r="11" spans="1:19" s="15" customFormat="1" ht="39.75" customHeight="1" thickBot="1">
      <c r="A11" s="402"/>
      <c r="B11" s="402"/>
      <c r="C11" s="402"/>
      <c r="D11" s="402"/>
      <c r="E11" s="402"/>
      <c r="F11" s="402"/>
      <c r="G11" s="402"/>
      <c r="H11" s="106" t="s">
        <v>168</v>
      </c>
      <c r="I11" s="402"/>
      <c r="J11" s="402"/>
      <c r="K11" s="106" t="s">
        <v>47</v>
      </c>
      <c r="L11" s="106" t="s">
        <v>46</v>
      </c>
      <c r="M11" s="106" t="s">
        <v>47</v>
      </c>
      <c r="N11" s="106" t="s">
        <v>46</v>
      </c>
      <c r="O11" s="106" t="s">
        <v>47</v>
      </c>
      <c r="P11" s="106" t="s">
        <v>46</v>
      </c>
      <c r="Q11" s="106" t="s">
        <v>47</v>
      </c>
      <c r="R11" s="106" t="s">
        <v>46</v>
      </c>
      <c r="S11" s="402"/>
    </row>
    <row r="12" spans="1:19" s="282" customFormat="1" ht="75" customHeight="1" thickBot="1">
      <c r="A12" s="134">
        <v>1</v>
      </c>
      <c r="B12" s="135" t="s">
        <v>169</v>
      </c>
      <c r="C12" s="335" t="s">
        <v>83</v>
      </c>
      <c r="D12" s="136"/>
      <c r="E12" s="137"/>
      <c r="F12" s="136"/>
      <c r="G12" s="136"/>
      <c r="H12" s="136"/>
      <c r="I12" s="110">
        <f aca="true" t="shared" si="0" ref="I12:J16">K12+M12+O12+Q12</f>
        <v>19.25</v>
      </c>
      <c r="J12" s="132">
        <f t="shared" si="0"/>
        <v>250.3564715</v>
      </c>
      <c r="K12" s="132">
        <f>'Адмін.'!C59</f>
        <v>2</v>
      </c>
      <c r="L12" s="132">
        <f>'Адмін.'!R59/1000</f>
        <v>50.1859215</v>
      </c>
      <c r="M12" s="132">
        <f>'Адмін.'!C60</f>
        <v>2</v>
      </c>
      <c r="N12" s="132">
        <f>'Адмін.'!R60/1000</f>
        <v>27</v>
      </c>
      <c r="O12" s="110"/>
      <c r="P12" s="110"/>
      <c r="Q12" s="110">
        <f>'Адмін.'!C61</f>
        <v>15.25</v>
      </c>
      <c r="R12" s="132">
        <f>'Адмін.'!R61/1000</f>
        <v>173.17055</v>
      </c>
      <c r="S12" s="132">
        <v>6.5</v>
      </c>
    </row>
    <row r="13" spans="1:19" s="282" customFormat="1" ht="19.5" customHeight="1" thickBot="1">
      <c r="A13" s="134">
        <v>2</v>
      </c>
      <c r="B13" s="135" t="s">
        <v>82</v>
      </c>
      <c r="C13" s="335" t="s">
        <v>83</v>
      </c>
      <c r="D13" s="136"/>
      <c r="E13" s="137">
        <v>30</v>
      </c>
      <c r="F13" s="136">
        <v>100</v>
      </c>
      <c r="G13" s="136"/>
      <c r="H13" s="153">
        <f>(10960/40)*30</f>
        <v>8220</v>
      </c>
      <c r="I13" s="110">
        <f>K13+M13+O13+Q13</f>
        <v>41.25</v>
      </c>
      <c r="J13" s="132">
        <f>L13+N13+P13+R13</f>
        <v>533.20235</v>
      </c>
      <c r="K13" s="132">
        <f>Тетіїв!C39</f>
        <v>11.5</v>
      </c>
      <c r="L13" s="132">
        <f>Тетіїв!R39/1000</f>
        <v>191.3</v>
      </c>
      <c r="M13" s="110">
        <f>Тетіїв!C40</f>
        <v>20.75</v>
      </c>
      <c r="N13" s="132">
        <f>Тетіїв!R40/1000</f>
        <v>267.1777</v>
      </c>
      <c r="O13" s="110">
        <f>Тетіїв!C41</f>
        <v>2.75</v>
      </c>
      <c r="P13" s="132">
        <f>Тетіїв!R41/1000</f>
        <v>20.56175</v>
      </c>
      <c r="Q13" s="110">
        <f>Тетіїв!C42</f>
        <v>6.25</v>
      </c>
      <c r="R13" s="132">
        <f>Тетіїв!R42/1000</f>
        <v>54.1629</v>
      </c>
      <c r="S13" s="110"/>
    </row>
    <row r="14" spans="1:19" s="282" customFormat="1" ht="19.5" customHeight="1" thickBot="1">
      <c r="A14" s="134">
        <v>3</v>
      </c>
      <c r="B14" s="135" t="s">
        <v>79</v>
      </c>
      <c r="C14" s="335" t="s">
        <v>53</v>
      </c>
      <c r="D14" s="136"/>
      <c r="E14" s="137"/>
      <c r="F14" s="136"/>
      <c r="G14" s="136">
        <v>50</v>
      </c>
      <c r="H14" s="153"/>
      <c r="I14" s="132">
        <f t="shared" si="0"/>
        <v>2</v>
      </c>
      <c r="J14" s="132">
        <f t="shared" si="0"/>
        <v>21.4985</v>
      </c>
      <c r="K14" s="132">
        <f>Голодьки!C15</f>
        <v>0</v>
      </c>
      <c r="L14" s="132">
        <f>Голодьки!R15/1000</f>
        <v>0</v>
      </c>
      <c r="M14" s="132">
        <f>Голодьки!C16</f>
        <v>1</v>
      </c>
      <c r="N14" s="132">
        <f>Голодьки!R16/1000</f>
        <v>13.5</v>
      </c>
      <c r="O14" s="132">
        <f>Голодьки!C17</f>
        <v>0.5</v>
      </c>
      <c r="P14" s="132">
        <f>Голодьки!R17/1000</f>
        <v>3.7385</v>
      </c>
      <c r="Q14" s="132">
        <f>Голодьки!C18</f>
        <v>0.5</v>
      </c>
      <c r="R14" s="132">
        <f>Голодьки!R18/1000</f>
        <v>4.26</v>
      </c>
      <c r="S14" s="110"/>
    </row>
    <row r="15" spans="1:19" s="282" customFormat="1" ht="19.5" customHeight="1" thickBot="1">
      <c r="A15" s="155">
        <v>4</v>
      </c>
      <c r="B15" s="135" t="s">
        <v>51</v>
      </c>
      <c r="C15" s="335" t="s">
        <v>52</v>
      </c>
      <c r="D15" s="136"/>
      <c r="E15" s="137"/>
      <c r="F15" s="136"/>
      <c r="G15" s="136">
        <v>50</v>
      </c>
      <c r="H15" s="153"/>
      <c r="I15" s="132">
        <f t="shared" si="0"/>
        <v>3</v>
      </c>
      <c r="J15" s="132">
        <f t="shared" si="0"/>
        <v>41.1435</v>
      </c>
      <c r="K15" s="132">
        <f>Горошків!C17</f>
        <v>1</v>
      </c>
      <c r="L15" s="132">
        <f>Горошків!R17/1000</f>
        <v>20</v>
      </c>
      <c r="M15" s="132">
        <f>Горошків!C18</f>
        <v>1</v>
      </c>
      <c r="N15" s="132">
        <f>Горошків!R18/1000</f>
        <v>13.5</v>
      </c>
      <c r="O15" s="132">
        <f>Горошків!C19</f>
        <v>0.5</v>
      </c>
      <c r="P15" s="132">
        <f>Горошків!R19/1000</f>
        <v>3.7385</v>
      </c>
      <c r="Q15" s="132">
        <f>Горошків!C20</f>
        <v>0.5</v>
      </c>
      <c r="R15" s="132">
        <f>Горошків!R20/1000</f>
        <v>3.905</v>
      </c>
      <c r="S15" s="110"/>
    </row>
    <row r="16" spans="1:19" s="282" customFormat="1" ht="19.5" customHeight="1" thickBot="1">
      <c r="A16" s="155">
        <v>5</v>
      </c>
      <c r="B16" s="135" t="s">
        <v>111</v>
      </c>
      <c r="C16" s="335" t="s">
        <v>80</v>
      </c>
      <c r="D16" s="136"/>
      <c r="E16" s="137"/>
      <c r="F16" s="136"/>
      <c r="G16" s="136">
        <v>50</v>
      </c>
      <c r="H16" s="153"/>
      <c r="I16" s="132">
        <f t="shared" si="0"/>
        <v>2.5</v>
      </c>
      <c r="J16" s="132">
        <f t="shared" si="0"/>
        <v>25.0485</v>
      </c>
      <c r="K16" s="132">
        <f>Галайки!C16</f>
        <v>0</v>
      </c>
      <c r="L16" s="132">
        <f>Галайки!R16/1000</f>
        <v>0</v>
      </c>
      <c r="M16" s="132">
        <f>Галайки!C17</f>
        <v>1</v>
      </c>
      <c r="N16" s="132">
        <f>Галайки!R17/1000</f>
        <v>13.5</v>
      </c>
      <c r="O16" s="132">
        <f>Галайки!C18</f>
        <v>0.5</v>
      </c>
      <c r="P16" s="132">
        <f>Галайки!R18/1000</f>
        <v>3.7385</v>
      </c>
      <c r="Q16" s="132">
        <f>Галайки!C19</f>
        <v>1</v>
      </c>
      <c r="R16" s="132">
        <f>Галайки!R19/1000</f>
        <v>7.81</v>
      </c>
      <c r="S16" s="132"/>
    </row>
    <row r="17" spans="1:19" s="282" customFormat="1" ht="19.5" customHeight="1" thickBot="1">
      <c r="A17" s="134">
        <v>6</v>
      </c>
      <c r="B17" s="135" t="s">
        <v>81</v>
      </c>
      <c r="C17" s="335" t="s">
        <v>48</v>
      </c>
      <c r="D17" s="136"/>
      <c r="E17" s="137">
        <v>20</v>
      </c>
      <c r="F17" s="136"/>
      <c r="G17" s="136">
        <v>50</v>
      </c>
      <c r="H17" s="153">
        <v>5480</v>
      </c>
      <c r="I17" s="132">
        <f>K17+M17+O17+Q17</f>
        <v>8.5</v>
      </c>
      <c r="J17" s="132">
        <f>L17+N17+P17+R17</f>
        <v>125.73700000000001</v>
      </c>
      <c r="K17" s="132">
        <f>Денихівка!C15</f>
        <v>3</v>
      </c>
      <c r="L17" s="132">
        <f>Денихівка!R15/1000</f>
        <v>60</v>
      </c>
      <c r="M17" s="132">
        <f>Денихівка!C16</f>
        <v>4</v>
      </c>
      <c r="N17" s="132">
        <f>Денихівка!R16/1000</f>
        <v>54</v>
      </c>
      <c r="O17" s="132">
        <f>Денихівка!C17</f>
        <v>1</v>
      </c>
      <c r="P17" s="132">
        <f>Денихівка!R17/1000</f>
        <v>7.477</v>
      </c>
      <c r="Q17" s="132">
        <f>Денихівка!C18</f>
        <v>0.5</v>
      </c>
      <c r="R17" s="132">
        <f>Денихівка!R18/1000</f>
        <v>4.26</v>
      </c>
      <c r="S17" s="110"/>
    </row>
    <row r="18" spans="1:24" s="282" customFormat="1" ht="19.5" customHeight="1" thickBot="1">
      <c r="A18" s="134">
        <v>7</v>
      </c>
      <c r="B18" s="135" t="s">
        <v>49</v>
      </c>
      <c r="C18" s="335" t="s">
        <v>50</v>
      </c>
      <c r="D18" s="136"/>
      <c r="E18" s="137">
        <v>5</v>
      </c>
      <c r="F18" s="136"/>
      <c r="G18" s="136">
        <v>50</v>
      </c>
      <c r="H18" s="153">
        <v>1370</v>
      </c>
      <c r="I18" s="132">
        <f>K18+M18+O18+Q18</f>
        <v>8.5</v>
      </c>
      <c r="J18" s="132">
        <f>L18+N18+P18+R18</f>
        <v>119.337</v>
      </c>
      <c r="K18" s="132">
        <f>Кашперівка!C16</f>
        <v>3</v>
      </c>
      <c r="L18" s="132">
        <f>Кашперівка!R16/1000</f>
        <v>60</v>
      </c>
      <c r="M18" s="132">
        <f>Кашперівка!C17</f>
        <v>3</v>
      </c>
      <c r="N18" s="132">
        <f>Кашперівка!R17/1000</f>
        <v>40.5</v>
      </c>
      <c r="O18" s="132">
        <f>Кашперівка!C18</f>
        <v>1</v>
      </c>
      <c r="P18" s="132">
        <f>Кашперівка!R18/1000</f>
        <v>7.477</v>
      </c>
      <c r="Q18" s="132">
        <f>Кашперівка!C19</f>
        <v>1.5</v>
      </c>
      <c r="R18" s="132">
        <f>Кашперівка!R19/1000</f>
        <v>11.36</v>
      </c>
      <c r="S18" s="110"/>
      <c r="W18" s="283"/>
      <c r="X18" s="284"/>
    </row>
    <row r="19" spans="1:24" s="282" customFormat="1" ht="19.5" customHeight="1" thickBot="1">
      <c r="A19" s="134">
        <v>8</v>
      </c>
      <c r="B19" s="135" t="s">
        <v>113</v>
      </c>
      <c r="C19" s="335" t="s">
        <v>60</v>
      </c>
      <c r="D19" s="136"/>
      <c r="E19" s="137">
        <v>10</v>
      </c>
      <c r="F19" s="136"/>
      <c r="G19" s="136">
        <v>50</v>
      </c>
      <c r="H19" s="153">
        <v>2740</v>
      </c>
      <c r="I19" s="132">
        <f aca="true" t="shared" si="1" ref="I19:J21">K19+M19+O19+Q19</f>
        <v>8.5</v>
      </c>
      <c r="J19" s="132">
        <f t="shared" si="1"/>
        <v>119.337</v>
      </c>
      <c r="K19" s="132">
        <f>'П''ятигори'!C16</f>
        <v>3</v>
      </c>
      <c r="L19" s="132">
        <f>'П''ятигори'!R16/1000</f>
        <v>60</v>
      </c>
      <c r="M19" s="132">
        <f>'П''ятигори'!C17</f>
        <v>3</v>
      </c>
      <c r="N19" s="132">
        <f>'П''ятигори'!R17/1000</f>
        <v>40.5</v>
      </c>
      <c r="O19" s="132">
        <f>'П''ятигори'!C18</f>
        <v>1</v>
      </c>
      <c r="P19" s="132">
        <f>'П''ятигори'!R18/1000</f>
        <v>7.477</v>
      </c>
      <c r="Q19" s="132">
        <f>'П''ятигори'!C19</f>
        <v>1.5</v>
      </c>
      <c r="R19" s="132">
        <f>'П''ятигори'!R19/1000</f>
        <v>11.36</v>
      </c>
      <c r="S19" s="110"/>
      <c r="W19" s="284"/>
      <c r="X19" s="284"/>
    </row>
    <row r="20" spans="1:24" s="282" customFormat="1" ht="19.5" customHeight="1" thickBot="1">
      <c r="A20" s="134">
        <v>9</v>
      </c>
      <c r="B20" s="135" t="s">
        <v>112</v>
      </c>
      <c r="C20" s="335" t="s">
        <v>77</v>
      </c>
      <c r="D20" s="136"/>
      <c r="E20" s="137"/>
      <c r="F20" s="136"/>
      <c r="G20" s="136">
        <v>50</v>
      </c>
      <c r="H20" s="153"/>
      <c r="I20" s="132">
        <f t="shared" si="1"/>
        <v>2.5</v>
      </c>
      <c r="J20" s="132">
        <f t="shared" si="1"/>
        <v>24.997</v>
      </c>
      <c r="K20" s="132">
        <f>Теліженці!C15</f>
        <v>0</v>
      </c>
      <c r="L20" s="132">
        <f>Теліженці!R15/1000</f>
        <v>0</v>
      </c>
      <c r="M20" s="132">
        <f>Теліженці!C16</f>
        <v>1</v>
      </c>
      <c r="N20" s="132">
        <f>Теліженці!R16/1000</f>
        <v>13.5</v>
      </c>
      <c r="O20" s="132">
        <f>Теліженці!C17</f>
        <v>1</v>
      </c>
      <c r="P20" s="132">
        <f>Теліженці!R17/1000</f>
        <v>7.477</v>
      </c>
      <c r="Q20" s="132">
        <f>Теліженці!C18</f>
        <v>0.5</v>
      </c>
      <c r="R20" s="132">
        <f>Теліженці!R18/1000</f>
        <v>4.02</v>
      </c>
      <c r="S20" s="110"/>
      <c r="W20" s="283"/>
      <c r="X20" s="284"/>
    </row>
    <row r="21" spans="1:19" s="282" customFormat="1" ht="19.5" customHeight="1" thickBot="1">
      <c r="A21" s="134">
        <v>10</v>
      </c>
      <c r="B21" s="135" t="s">
        <v>149</v>
      </c>
      <c r="C21" s="136"/>
      <c r="D21" s="136"/>
      <c r="E21" s="137"/>
      <c r="F21" s="136"/>
      <c r="G21" s="136"/>
      <c r="H21" s="153"/>
      <c r="I21" s="132">
        <f>K21+M21+O21+Q21</f>
        <v>30.5</v>
      </c>
      <c r="J21" s="132">
        <f t="shared" si="1"/>
        <v>348.5085</v>
      </c>
      <c r="K21" s="110"/>
      <c r="L21" s="110"/>
      <c r="M21" s="132">
        <f>ФП!C69</f>
        <v>20</v>
      </c>
      <c r="N21" s="132">
        <f>ФП!R69/1000</f>
        <v>270</v>
      </c>
      <c r="O21" s="110">
        <f>ФП!C70</f>
        <v>10.5</v>
      </c>
      <c r="P21" s="132">
        <f>ФП!R70/1000</f>
        <v>78.5085</v>
      </c>
      <c r="Q21" s="132"/>
      <c r="R21" s="110"/>
      <c r="S21" s="110"/>
    </row>
    <row r="22" spans="1:19" s="152" customFormat="1" ht="19.5" customHeight="1" thickBot="1">
      <c r="A22" s="134"/>
      <c r="B22" s="135"/>
      <c r="C22" s="154"/>
      <c r="D22" s="136"/>
      <c r="E22" s="137"/>
      <c r="F22" s="136"/>
      <c r="G22" s="136"/>
      <c r="H22" s="153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10"/>
    </row>
    <row r="23" spans="1:19" s="152" customFormat="1" ht="19.5" customHeight="1" thickBot="1">
      <c r="A23" s="155"/>
      <c r="B23" s="135"/>
      <c r="C23" s="136"/>
      <c r="D23" s="136"/>
      <c r="E23" s="137"/>
      <c r="F23" s="136"/>
      <c r="G23" s="136"/>
      <c r="H23" s="153"/>
      <c r="I23" s="110"/>
      <c r="J23" s="275"/>
      <c r="K23" s="110"/>
      <c r="L23" s="110"/>
      <c r="M23" s="132"/>
      <c r="N23" s="132"/>
      <c r="O23" s="110"/>
      <c r="P23" s="132"/>
      <c r="Q23" s="132"/>
      <c r="R23" s="110"/>
      <c r="S23" s="110"/>
    </row>
    <row r="24" spans="1:19" s="152" customFormat="1" ht="19.5" customHeight="1" thickBot="1">
      <c r="A24" s="134"/>
      <c r="B24" s="156"/>
      <c r="C24" s="136"/>
      <c r="D24" s="136"/>
      <c r="E24" s="137"/>
      <c r="F24" s="136"/>
      <c r="G24" s="136"/>
      <c r="H24" s="153"/>
      <c r="I24" s="157"/>
      <c r="J24" s="276"/>
      <c r="K24" s="157"/>
      <c r="L24" s="157"/>
      <c r="M24" s="277"/>
      <c r="N24" s="157"/>
      <c r="O24" s="277"/>
      <c r="P24" s="157"/>
      <c r="Q24" s="157"/>
      <c r="R24" s="157"/>
      <c r="S24" s="157"/>
    </row>
    <row r="25" spans="1:19" s="285" customFormat="1" ht="19.5" customHeight="1" thickBot="1">
      <c r="A25" s="292"/>
      <c r="B25" s="286" t="s">
        <v>87</v>
      </c>
      <c r="C25" s="154"/>
      <c r="D25" s="286">
        <v>1</v>
      </c>
      <c r="E25" s="287">
        <f>SUM(E12:E24)</f>
        <v>65</v>
      </c>
      <c r="F25" s="405"/>
      <c r="G25" s="406"/>
      <c r="H25" s="385">
        <f>SUM(H12:H24)</f>
        <v>17810</v>
      </c>
      <c r="I25" s="157">
        <f>SUM(I12:I16)+I17+I18+I19+I20+I21</f>
        <v>126.5</v>
      </c>
      <c r="J25" s="386">
        <f>J12+J13+J14+J15+J16+J17+J18+J19+J20+J21</f>
        <v>1609.1658215000002</v>
      </c>
      <c r="K25" s="277">
        <f aca="true" t="shared" si="2" ref="K25:R25">SUM(K12:K16)+K17+K18+K19+K20+K21</f>
        <v>23.5</v>
      </c>
      <c r="L25" s="157">
        <f t="shared" si="2"/>
        <v>441.4859215</v>
      </c>
      <c r="M25" s="277">
        <f t="shared" si="2"/>
        <v>56.75</v>
      </c>
      <c r="N25" s="157">
        <f t="shared" si="2"/>
        <v>753.1777</v>
      </c>
      <c r="O25" s="157">
        <f t="shared" si="2"/>
        <v>18.75</v>
      </c>
      <c r="P25" s="157">
        <f t="shared" si="2"/>
        <v>140.19375000000002</v>
      </c>
      <c r="Q25" s="157">
        <f t="shared" si="2"/>
        <v>27.5</v>
      </c>
      <c r="R25" s="157">
        <f t="shared" si="2"/>
        <v>274.30845</v>
      </c>
      <c r="S25" s="277">
        <f>S12</f>
        <v>6.5</v>
      </c>
    </row>
    <row r="26" ht="18">
      <c r="A26" s="19"/>
    </row>
    <row r="27" spans="1:10" s="395" customFormat="1" ht="88.5" customHeight="1">
      <c r="A27" s="394"/>
      <c r="D27" s="395" t="s">
        <v>189</v>
      </c>
      <c r="J27" s="396"/>
    </row>
  </sheetData>
  <sheetProtection/>
  <mergeCells count="23">
    <mergeCell ref="B1:D1"/>
    <mergeCell ref="B2:D2"/>
    <mergeCell ref="H6:J6"/>
    <mergeCell ref="O10:P10"/>
    <mergeCell ref="F9:G9"/>
    <mergeCell ref="H7:J7"/>
    <mergeCell ref="Q10:R10"/>
    <mergeCell ref="A8:S8"/>
    <mergeCell ref="A9:A11"/>
    <mergeCell ref="B9:B11"/>
    <mergeCell ref="C9:C11"/>
    <mergeCell ref="D9:D11"/>
    <mergeCell ref="E9:E11"/>
    <mergeCell ref="F25:G25"/>
    <mergeCell ref="I9:J9"/>
    <mergeCell ref="K9:R9"/>
    <mergeCell ref="S9:S11"/>
    <mergeCell ref="F10:F11"/>
    <mergeCell ref="G10:G11"/>
    <mergeCell ref="I10:I11"/>
    <mergeCell ref="J10:J11"/>
    <mergeCell ref="K10:L10"/>
    <mergeCell ref="M10:N10"/>
  </mergeCells>
  <printOptions/>
  <pageMargins left="0.25" right="0.14" top="0.16" bottom="0.18" header="0.15" footer="0.15"/>
  <pageSetup fitToHeight="1" fitToWidth="1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Y27"/>
  <sheetViews>
    <sheetView view="pageBreakPreview" zoomScale="78" zoomScaleNormal="75" zoomScaleSheetLayoutView="78" zoomScalePageLayoutView="0" workbookViewId="0" topLeftCell="J1">
      <selection activeCell="P1" sqref="P1:S2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0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0" customWidth="1"/>
    <col min="19" max="19" width="10.625" style="0" customWidth="1"/>
  </cols>
  <sheetData>
    <row r="1" spans="16:19" ht="13.5">
      <c r="P1" s="462" t="s">
        <v>199</v>
      </c>
      <c r="Q1" s="462"/>
      <c r="R1" s="404"/>
      <c r="S1" s="51"/>
    </row>
    <row r="2" spans="16:19" ht="43.5" customHeight="1">
      <c r="P2" s="462" t="s">
        <v>192</v>
      </c>
      <c r="Q2" s="462"/>
      <c r="R2" s="462"/>
      <c r="S2" s="462"/>
    </row>
    <row r="4" spans="1:19" ht="15" customHeight="1">
      <c r="A4" s="457" t="s">
        <v>0</v>
      </c>
      <c r="B4" s="457" t="s">
        <v>1</v>
      </c>
      <c r="C4" s="457" t="s">
        <v>171</v>
      </c>
      <c r="D4" s="457" t="s">
        <v>97</v>
      </c>
      <c r="E4" s="450" t="s">
        <v>63</v>
      </c>
      <c r="F4" s="451"/>
      <c r="G4" s="451"/>
      <c r="H4" s="451"/>
      <c r="I4" s="451"/>
      <c r="J4" s="452"/>
      <c r="K4" s="455" t="s">
        <v>147</v>
      </c>
      <c r="L4" s="450" t="s">
        <v>64</v>
      </c>
      <c r="M4" s="451"/>
      <c r="N4" s="451"/>
      <c r="O4" s="450" t="s">
        <v>66</v>
      </c>
      <c r="P4" s="451"/>
      <c r="Q4" s="452"/>
      <c r="R4" s="457" t="s">
        <v>2</v>
      </c>
      <c r="S4" s="457" t="s">
        <v>3</v>
      </c>
    </row>
    <row r="5" spans="1:19" ht="79.5" customHeight="1">
      <c r="A5" s="458"/>
      <c r="B5" s="458"/>
      <c r="C5" s="458"/>
      <c r="D5" s="458"/>
      <c r="E5" s="37" t="s">
        <v>172</v>
      </c>
      <c r="F5" s="37" t="s">
        <v>175</v>
      </c>
      <c r="G5" s="37" t="s">
        <v>116</v>
      </c>
      <c r="H5" s="37" t="s">
        <v>183</v>
      </c>
      <c r="I5" s="37" t="s">
        <v>176</v>
      </c>
      <c r="J5" s="37" t="s">
        <v>184</v>
      </c>
      <c r="K5" s="456"/>
      <c r="L5" s="37" t="s">
        <v>177</v>
      </c>
      <c r="M5" s="37" t="s">
        <v>65</v>
      </c>
      <c r="N5" s="37" t="s">
        <v>61</v>
      </c>
      <c r="O5" s="37" t="s">
        <v>174</v>
      </c>
      <c r="P5" s="37" t="s">
        <v>100</v>
      </c>
      <c r="Q5" s="382" t="s">
        <v>185</v>
      </c>
      <c r="R5" s="458"/>
      <c r="S5" s="458"/>
    </row>
    <row r="6" spans="1:24" ht="12" customHeight="1">
      <c r="A6" s="40">
        <v>1</v>
      </c>
      <c r="B6" s="40">
        <v>2</v>
      </c>
      <c r="C6" s="321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X6" s="15"/>
    </row>
    <row r="7" spans="1:24" ht="19.5" customHeight="1">
      <c r="A7" s="464" t="s">
        <v>95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X7" s="15"/>
    </row>
    <row r="8" spans="1:24" ht="12" customHeight="1">
      <c r="A8" s="40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X8" s="15"/>
    </row>
    <row r="9" spans="1:19" ht="19.5" customHeight="1">
      <c r="A9" s="361">
        <v>1</v>
      </c>
      <c r="B9" s="344" t="s">
        <v>98</v>
      </c>
      <c r="C9" s="121"/>
      <c r="D9" s="305">
        <f>7732</f>
        <v>7732</v>
      </c>
      <c r="E9" s="191"/>
      <c r="F9" s="306"/>
      <c r="G9" s="191"/>
      <c r="H9" s="362"/>
      <c r="I9" s="362"/>
      <c r="J9" s="191"/>
      <c r="K9" s="362">
        <f>SUM(D9:J9)</f>
        <v>7732</v>
      </c>
      <c r="L9" s="305"/>
      <c r="M9" s="191"/>
      <c r="N9" s="305">
        <f>K9*30%</f>
        <v>2319.6</v>
      </c>
      <c r="O9" s="191"/>
      <c r="P9" s="191"/>
      <c r="Q9" s="191">
        <f>20000-(D9+N9)*1</f>
        <v>9948.4</v>
      </c>
      <c r="R9" s="362">
        <f>SUM(K9:P9)*1+Q9</f>
        <v>20000</v>
      </c>
      <c r="S9" s="193">
        <v>14</v>
      </c>
    </row>
    <row r="10" spans="1:19" ht="19.5" customHeight="1">
      <c r="A10" s="361">
        <v>2</v>
      </c>
      <c r="B10" s="344" t="s">
        <v>71</v>
      </c>
      <c r="C10" s="339">
        <v>1</v>
      </c>
      <c r="D10" s="190">
        <f>4920</f>
        <v>4920</v>
      </c>
      <c r="E10" s="190"/>
      <c r="F10" s="191"/>
      <c r="G10" s="190"/>
      <c r="H10" s="191"/>
      <c r="I10" s="191"/>
      <c r="J10" s="190"/>
      <c r="K10" s="362">
        <f>SUM(D10:J10)</f>
        <v>4920</v>
      </c>
      <c r="L10" s="190"/>
      <c r="M10" s="190"/>
      <c r="N10" s="305">
        <f>K10*30%</f>
        <v>1476</v>
      </c>
      <c r="O10" s="190"/>
      <c r="P10" s="190"/>
      <c r="Q10" s="191">
        <f>13500-(D10+N10)*C10</f>
        <v>7104</v>
      </c>
      <c r="R10" s="362">
        <f>SUM(K10:P10)*C10+Q10</f>
        <v>13500</v>
      </c>
      <c r="S10" s="193">
        <v>7</v>
      </c>
    </row>
    <row r="11" spans="1:19" ht="19.5" customHeight="1">
      <c r="A11" s="361">
        <v>3</v>
      </c>
      <c r="B11" s="311" t="s">
        <v>99</v>
      </c>
      <c r="C11" s="339">
        <v>0.5</v>
      </c>
      <c r="D11" s="190">
        <f>7100*1</f>
        <v>7100</v>
      </c>
      <c r="E11" s="190"/>
      <c r="F11" s="190"/>
      <c r="G11" s="190"/>
      <c r="H11" s="310"/>
      <c r="I11" s="310"/>
      <c r="J11" s="190"/>
      <c r="K11" s="362">
        <f>SUM(D11:J11)</f>
        <v>7100</v>
      </c>
      <c r="L11" s="190"/>
      <c r="M11" s="190"/>
      <c r="N11" s="305"/>
      <c r="O11" s="190"/>
      <c r="P11" s="190">
        <f>3770*10%</f>
        <v>377</v>
      </c>
      <c r="Q11" s="191"/>
      <c r="R11" s="362">
        <f>SUM(K11:P11)*C11</f>
        <v>3738.5</v>
      </c>
      <c r="S11" s="320">
        <v>3</v>
      </c>
    </row>
    <row r="12" spans="1:19" ht="19.5" customHeight="1">
      <c r="A12" s="363">
        <v>4</v>
      </c>
      <c r="B12" s="303" t="s">
        <v>120</v>
      </c>
      <c r="C12" s="339">
        <v>0.5</v>
      </c>
      <c r="D12" s="190">
        <f>7100*1.2</f>
        <v>8520</v>
      </c>
      <c r="E12" s="190"/>
      <c r="F12" s="190"/>
      <c r="G12" s="190"/>
      <c r="H12" s="310"/>
      <c r="I12" s="364"/>
      <c r="J12" s="190"/>
      <c r="K12" s="362">
        <f>SUM(D12:J12)</f>
        <v>8520</v>
      </c>
      <c r="L12" s="190"/>
      <c r="M12" s="190"/>
      <c r="N12" s="305"/>
      <c r="O12" s="190"/>
      <c r="P12" s="190"/>
      <c r="Q12" s="191"/>
      <c r="R12" s="191">
        <f>SUM(K12:P12)*C12</f>
        <v>4260</v>
      </c>
      <c r="S12" s="320">
        <v>3</v>
      </c>
    </row>
    <row r="13" spans="1:19" ht="19.5" customHeight="1">
      <c r="A13" s="338">
        <v>5</v>
      </c>
      <c r="B13" s="303" t="s">
        <v>89</v>
      </c>
      <c r="C13" s="339">
        <f>0.5</f>
        <v>0.5</v>
      </c>
      <c r="D13" s="233">
        <f>7100*1</f>
        <v>7100</v>
      </c>
      <c r="E13" s="190"/>
      <c r="F13" s="190"/>
      <c r="G13" s="190"/>
      <c r="H13" s="190"/>
      <c r="I13" s="190"/>
      <c r="J13" s="190"/>
      <c r="K13" s="190">
        <f>SUM(D13:J13)</f>
        <v>7100</v>
      </c>
      <c r="L13" s="190"/>
      <c r="M13" s="190"/>
      <c r="N13" s="190"/>
      <c r="O13" s="190"/>
      <c r="P13" s="190"/>
      <c r="Q13" s="190"/>
      <c r="R13" s="367">
        <f>SUM(K13:P13)*C13</f>
        <v>3550</v>
      </c>
      <c r="S13" s="320">
        <v>3</v>
      </c>
    </row>
    <row r="14" spans="1:19" ht="19.5" customHeight="1">
      <c r="A14" s="338"/>
      <c r="B14" s="303"/>
      <c r="C14" s="340"/>
      <c r="D14" s="190"/>
      <c r="E14" s="190"/>
      <c r="F14" s="190"/>
      <c r="G14" s="190"/>
      <c r="H14" s="310"/>
      <c r="I14" s="364"/>
      <c r="J14" s="190"/>
      <c r="K14" s="190"/>
      <c r="L14" s="190"/>
      <c r="M14" s="190"/>
      <c r="N14" s="190"/>
      <c r="O14" s="190"/>
      <c r="P14" s="190"/>
      <c r="Q14" s="190"/>
      <c r="R14" s="190"/>
      <c r="S14" s="320"/>
    </row>
    <row r="15" spans="1:25" ht="19.5" customHeight="1">
      <c r="A15" s="338"/>
      <c r="B15" s="348" t="s">
        <v>90</v>
      </c>
      <c r="C15" s="126">
        <f>C16+C17+C18+C19</f>
        <v>2.5</v>
      </c>
      <c r="D15" s="365"/>
      <c r="E15" s="365"/>
      <c r="F15" s="365"/>
      <c r="G15" s="365"/>
      <c r="H15" s="342"/>
      <c r="I15" s="342"/>
      <c r="J15" s="365"/>
      <c r="K15" s="365"/>
      <c r="L15" s="365"/>
      <c r="M15" s="365"/>
      <c r="N15" s="365"/>
      <c r="O15" s="365"/>
      <c r="P15" s="365"/>
      <c r="Q15" s="365"/>
      <c r="R15" s="227">
        <f>R10+R11+R12+R13</f>
        <v>25048.5</v>
      </c>
      <c r="S15" s="320"/>
      <c r="T15" s="42"/>
      <c r="U15" s="42"/>
      <c r="V15" s="42"/>
      <c r="W15" s="42"/>
      <c r="X15" s="42"/>
      <c r="Y15" s="42"/>
    </row>
    <row r="16" spans="1:19" ht="19.5" customHeight="1">
      <c r="A16" s="338"/>
      <c r="B16" s="348" t="s">
        <v>9</v>
      </c>
      <c r="C16" s="126">
        <f>C9</f>
        <v>0</v>
      </c>
      <c r="D16" s="365"/>
      <c r="E16" s="365"/>
      <c r="F16" s="366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227">
        <f>0</f>
        <v>0</v>
      </c>
      <c r="S16" s="320"/>
    </row>
    <row r="17" spans="1:19" ht="19.5" customHeight="1">
      <c r="A17" s="338"/>
      <c r="B17" s="348" t="s">
        <v>7</v>
      </c>
      <c r="C17" s="126">
        <f>SUM(C10:C10)</f>
        <v>1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227">
        <f>R10</f>
        <v>13500</v>
      </c>
      <c r="S17" s="320"/>
    </row>
    <row r="18" spans="1:19" ht="19.5" customHeight="1">
      <c r="A18" s="338"/>
      <c r="B18" s="348" t="s">
        <v>11</v>
      </c>
      <c r="C18" s="126">
        <f>C11</f>
        <v>0.5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227">
        <f>R11</f>
        <v>3738.5</v>
      </c>
      <c r="S18" s="320"/>
    </row>
    <row r="19" spans="1:19" ht="19.5" customHeight="1">
      <c r="A19" s="338"/>
      <c r="B19" s="348" t="s">
        <v>10</v>
      </c>
      <c r="C19" s="126">
        <f>C12+C13</f>
        <v>1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227">
        <f>R12+R13</f>
        <v>7810</v>
      </c>
      <c r="S19" s="320"/>
    </row>
    <row r="20" ht="19.5" customHeight="1"/>
    <row r="21" spans="1:19" ht="19.5" customHeight="1">
      <c r="A21" s="4"/>
      <c r="B21" s="4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4"/>
      <c r="O21" s="4"/>
      <c r="P21" s="4"/>
      <c r="Q21" s="4"/>
      <c r="R21" s="4"/>
      <c r="S21" s="4"/>
    </row>
    <row r="22" spans="1:19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0" ht="15">
      <c r="A26" s="4"/>
      <c r="B26" s="4"/>
      <c r="C26" s="4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1"/>
    </row>
    <row r="27" spans="1:19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</sheetData>
  <sheetProtection/>
  <mergeCells count="13">
    <mergeCell ref="A7:S7"/>
    <mergeCell ref="A4:A5"/>
    <mergeCell ref="B4:B5"/>
    <mergeCell ref="C4:C5"/>
    <mergeCell ref="D4:D5"/>
    <mergeCell ref="R4:R5"/>
    <mergeCell ref="S4:S5"/>
    <mergeCell ref="E4:J4"/>
    <mergeCell ref="K4:K5"/>
    <mergeCell ref="L4:N4"/>
    <mergeCell ref="P1:Q1"/>
    <mergeCell ref="P2:S2"/>
    <mergeCell ref="O4:Q4"/>
  </mergeCells>
  <printOptions/>
  <pageMargins left="0.35433070866141736" right="0.15748031496062992" top="0.55" bottom="0.984251968503937" header="0.46" footer="0.5118110236220472"/>
  <pageSetup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Z27"/>
  <sheetViews>
    <sheetView view="pageBreakPreview" zoomScale="80" zoomScaleNormal="75" zoomScaleSheetLayoutView="80" zoomScalePageLayoutView="0" workbookViewId="0" topLeftCell="A1">
      <selection activeCell="P1" sqref="P1:S2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0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0" customWidth="1"/>
    <col min="19" max="19" width="10.625" style="0" customWidth="1"/>
    <col min="20" max="20" width="0.12890625" style="0" customWidth="1"/>
  </cols>
  <sheetData>
    <row r="1" spans="16:19" ht="13.5">
      <c r="P1" s="462" t="s">
        <v>200</v>
      </c>
      <c r="Q1" s="462"/>
      <c r="R1" s="404"/>
      <c r="S1" s="51"/>
    </row>
    <row r="2" spans="16:19" ht="45" customHeight="1">
      <c r="P2" s="462" t="s">
        <v>192</v>
      </c>
      <c r="Q2" s="462"/>
      <c r="R2" s="462"/>
      <c r="S2" s="462"/>
    </row>
    <row r="4" spans="1:19" ht="15" customHeight="1">
      <c r="A4" s="457" t="s">
        <v>0</v>
      </c>
      <c r="B4" s="457" t="s">
        <v>1</v>
      </c>
      <c r="C4" s="457" t="s">
        <v>171</v>
      </c>
      <c r="D4" s="457" t="s">
        <v>97</v>
      </c>
      <c r="E4" s="450" t="s">
        <v>63</v>
      </c>
      <c r="F4" s="451"/>
      <c r="G4" s="451"/>
      <c r="H4" s="451"/>
      <c r="I4" s="451"/>
      <c r="J4" s="452"/>
      <c r="K4" s="455" t="s">
        <v>147</v>
      </c>
      <c r="L4" s="450" t="s">
        <v>64</v>
      </c>
      <c r="M4" s="451"/>
      <c r="N4" s="451"/>
      <c r="O4" s="450" t="s">
        <v>66</v>
      </c>
      <c r="P4" s="451"/>
      <c r="Q4" s="452"/>
      <c r="R4" s="457" t="s">
        <v>2</v>
      </c>
      <c r="S4" s="457" t="s">
        <v>3</v>
      </c>
    </row>
    <row r="5" spans="1:19" ht="79.5" customHeight="1">
      <c r="A5" s="458"/>
      <c r="B5" s="458"/>
      <c r="C5" s="458"/>
      <c r="D5" s="458"/>
      <c r="E5" s="37" t="s">
        <v>172</v>
      </c>
      <c r="F5" s="37" t="s">
        <v>175</v>
      </c>
      <c r="G5" s="37" t="s">
        <v>116</v>
      </c>
      <c r="H5" s="37" t="s">
        <v>183</v>
      </c>
      <c r="I5" s="37" t="s">
        <v>176</v>
      </c>
      <c r="J5" s="37" t="s">
        <v>184</v>
      </c>
      <c r="K5" s="456"/>
      <c r="L5" s="37" t="s">
        <v>177</v>
      </c>
      <c r="M5" s="37" t="s">
        <v>65</v>
      </c>
      <c r="N5" s="37" t="s">
        <v>61</v>
      </c>
      <c r="O5" s="37" t="s">
        <v>174</v>
      </c>
      <c r="P5" s="37" t="s">
        <v>100</v>
      </c>
      <c r="Q5" s="382" t="s">
        <v>185</v>
      </c>
      <c r="R5" s="458"/>
      <c r="S5" s="458"/>
    </row>
    <row r="6" spans="1:25" ht="12" customHeight="1">
      <c r="A6" s="40">
        <v>1</v>
      </c>
      <c r="B6" s="40">
        <v>2</v>
      </c>
      <c r="C6" s="321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Y6" s="15"/>
    </row>
    <row r="7" spans="1:25" ht="19.5" customHeight="1">
      <c r="A7" s="464" t="s">
        <v>96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Y7" s="15"/>
    </row>
    <row r="8" spans="1:25" ht="12" customHeight="1">
      <c r="A8" s="40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Y8" s="15"/>
    </row>
    <row r="9" spans="1:26" ht="19.5" customHeight="1">
      <c r="A9" s="144">
        <v>1</v>
      </c>
      <c r="B9" s="344" t="s">
        <v>101</v>
      </c>
      <c r="C9" s="339"/>
      <c r="D9" s="190">
        <f>7253</f>
        <v>7253</v>
      </c>
      <c r="E9" s="190"/>
      <c r="F9" s="306"/>
      <c r="G9" s="190"/>
      <c r="H9" s="190"/>
      <c r="I9" s="190"/>
      <c r="J9" s="190"/>
      <c r="K9" s="190">
        <f>SUM(D9:J9)</f>
        <v>7253</v>
      </c>
      <c r="L9" s="190"/>
      <c r="M9" s="190"/>
      <c r="N9" s="190">
        <f>K9*30%</f>
        <v>2175.9</v>
      </c>
      <c r="O9" s="190"/>
      <c r="P9" s="190"/>
      <c r="Q9" s="190">
        <f>20000-(D9+N9)*1</f>
        <v>10571.1</v>
      </c>
      <c r="R9" s="308">
        <f>SUM(K9:P9)*1+Q9</f>
        <v>20000</v>
      </c>
      <c r="S9" s="320">
        <v>13</v>
      </c>
      <c r="U9" s="52"/>
      <c r="V9" s="52"/>
      <c r="W9" s="52"/>
      <c r="X9" s="52"/>
      <c r="Y9" s="52"/>
      <c r="Z9" s="52"/>
    </row>
    <row r="10" spans="1:26" ht="19.5" customHeight="1">
      <c r="A10" s="144">
        <v>2</v>
      </c>
      <c r="B10" s="323" t="s">
        <v>71</v>
      </c>
      <c r="C10" s="339">
        <v>1</v>
      </c>
      <c r="D10" s="190">
        <f>4920</f>
        <v>4920</v>
      </c>
      <c r="E10" s="190"/>
      <c r="F10" s="306"/>
      <c r="G10" s="190"/>
      <c r="H10" s="190"/>
      <c r="I10" s="190"/>
      <c r="J10" s="190"/>
      <c r="K10" s="190">
        <f>SUM(D10:J10)</f>
        <v>4920</v>
      </c>
      <c r="L10" s="190"/>
      <c r="M10" s="190"/>
      <c r="N10" s="190">
        <f>K10*10%</f>
        <v>492</v>
      </c>
      <c r="O10" s="190"/>
      <c r="P10" s="190"/>
      <c r="Q10" s="190">
        <f>13500-(D10+N10)*C10</f>
        <v>8088</v>
      </c>
      <c r="R10" s="308">
        <f>SUM(K10:P10)*C10+Q10</f>
        <v>13500</v>
      </c>
      <c r="S10" s="320">
        <v>7</v>
      </c>
      <c r="U10" s="52"/>
      <c r="V10" s="52"/>
      <c r="W10" s="52"/>
      <c r="X10" s="52"/>
      <c r="Y10" s="52"/>
      <c r="Z10" s="52"/>
    </row>
    <row r="11" spans="1:26" ht="19.5" customHeight="1">
      <c r="A11" s="144">
        <v>3</v>
      </c>
      <c r="B11" s="311" t="s">
        <v>99</v>
      </c>
      <c r="C11" s="339">
        <v>1</v>
      </c>
      <c r="D11" s="190">
        <f>7100*1</f>
        <v>7100</v>
      </c>
      <c r="E11" s="190"/>
      <c r="F11" s="190"/>
      <c r="G11" s="190"/>
      <c r="H11" s="190"/>
      <c r="I11" s="190"/>
      <c r="J11" s="190"/>
      <c r="K11" s="190">
        <f>SUM(D11:J11)</f>
        <v>7100</v>
      </c>
      <c r="L11" s="190"/>
      <c r="M11" s="190"/>
      <c r="N11" s="190"/>
      <c r="O11" s="190"/>
      <c r="P11" s="190">
        <f>3770*10%</f>
        <v>377</v>
      </c>
      <c r="Q11" s="190"/>
      <c r="R11" s="308">
        <f>SUM(K11:P11)*C11</f>
        <v>7477</v>
      </c>
      <c r="S11" s="320">
        <v>3</v>
      </c>
      <c r="U11" s="52"/>
      <c r="V11" s="52"/>
      <c r="W11" s="52"/>
      <c r="X11" s="52"/>
      <c r="Y11" s="52"/>
      <c r="Z11" s="52"/>
    </row>
    <row r="12" spans="1:26" ht="19.5" customHeight="1">
      <c r="A12" s="144">
        <v>4</v>
      </c>
      <c r="B12" s="303" t="s">
        <v>120</v>
      </c>
      <c r="C12" s="339">
        <v>0.5</v>
      </c>
      <c r="D12" s="190">
        <f>6700*1.2</f>
        <v>8040</v>
      </c>
      <c r="E12" s="190"/>
      <c r="F12" s="190"/>
      <c r="G12" s="190"/>
      <c r="H12" s="190"/>
      <c r="I12" s="190"/>
      <c r="J12" s="190"/>
      <c r="K12" s="190">
        <f>SUM(D12:J12)</f>
        <v>8040</v>
      </c>
      <c r="L12" s="190"/>
      <c r="M12" s="368"/>
      <c r="N12" s="190"/>
      <c r="O12" s="190"/>
      <c r="P12" s="190"/>
      <c r="Q12" s="190"/>
      <c r="R12" s="308">
        <f>SUM(K12:P12)*C12</f>
        <v>4020</v>
      </c>
      <c r="S12" s="320">
        <v>3</v>
      </c>
      <c r="U12" s="52"/>
      <c r="V12" s="52"/>
      <c r="W12" s="52"/>
      <c r="X12" s="52"/>
      <c r="Y12" s="52"/>
      <c r="Z12" s="52"/>
    </row>
    <row r="13" spans="1:26" ht="19.5" customHeight="1">
      <c r="A13" s="338"/>
      <c r="B13" s="303"/>
      <c r="C13" s="339"/>
      <c r="D13" s="190"/>
      <c r="E13" s="190"/>
      <c r="F13" s="190"/>
      <c r="G13" s="190"/>
      <c r="H13" s="190"/>
      <c r="I13" s="190"/>
      <c r="J13" s="190"/>
      <c r="K13" s="190"/>
      <c r="L13" s="190"/>
      <c r="M13" s="368"/>
      <c r="N13" s="190"/>
      <c r="O13" s="190"/>
      <c r="P13" s="190"/>
      <c r="Q13" s="190"/>
      <c r="R13" s="308"/>
      <c r="S13" s="320"/>
      <c r="U13" s="52"/>
      <c r="V13" s="52"/>
      <c r="W13" s="52"/>
      <c r="X13" s="52"/>
      <c r="Y13" s="52"/>
      <c r="Z13" s="52"/>
    </row>
    <row r="14" spans="1:26" ht="19.5" customHeight="1">
      <c r="A14" s="338"/>
      <c r="B14" s="348" t="s">
        <v>90</v>
      </c>
      <c r="C14" s="126">
        <f>SUM(C9:C12)</f>
        <v>2.5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227">
        <f>R10+R11+R12</f>
        <v>24997</v>
      </c>
      <c r="S14" s="320"/>
      <c r="U14" s="52"/>
      <c r="V14" s="52"/>
      <c r="W14" s="52"/>
      <c r="X14" s="52"/>
      <c r="Y14" s="52"/>
      <c r="Z14" s="52"/>
    </row>
    <row r="15" spans="1:19" ht="19.5" customHeight="1">
      <c r="A15" s="338"/>
      <c r="B15" s="348" t="s">
        <v>9</v>
      </c>
      <c r="C15" s="126">
        <f>SUM(C9:C9)</f>
        <v>0</v>
      </c>
      <c r="D15" s="365"/>
      <c r="E15" s="365"/>
      <c r="F15" s="366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227">
        <f>0</f>
        <v>0</v>
      </c>
      <c r="S15" s="320"/>
    </row>
    <row r="16" spans="1:19" ht="19.5" customHeight="1">
      <c r="A16" s="338"/>
      <c r="B16" s="348" t="s">
        <v>7</v>
      </c>
      <c r="C16" s="126">
        <f>SUM(C10:C10)</f>
        <v>1</v>
      </c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227">
        <f>R10</f>
        <v>13500</v>
      </c>
      <c r="S16" s="320"/>
    </row>
    <row r="17" spans="1:19" ht="19.5" customHeight="1">
      <c r="A17" s="338"/>
      <c r="B17" s="348" t="s">
        <v>11</v>
      </c>
      <c r="C17" s="126">
        <f>C11</f>
        <v>1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227">
        <f>R11</f>
        <v>7477</v>
      </c>
      <c r="S17" s="320"/>
    </row>
    <row r="18" spans="1:19" ht="19.5" customHeight="1">
      <c r="A18" s="338"/>
      <c r="B18" s="348" t="s">
        <v>10</v>
      </c>
      <c r="C18" s="126">
        <f>C12</f>
        <v>0.5</v>
      </c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227">
        <f>R12</f>
        <v>4020</v>
      </c>
      <c r="S18" s="320"/>
    </row>
    <row r="19" spans="1:19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ht="19.5" customHeight="1">
      <c r="B20" s="4"/>
      <c r="C20" s="4"/>
      <c r="D20" s="104"/>
      <c r="E20" s="104"/>
      <c r="F20" s="104"/>
      <c r="G20" s="104"/>
      <c r="H20" s="104"/>
      <c r="I20" s="104"/>
      <c r="J20" s="104"/>
      <c r="K20" s="104"/>
      <c r="L20" s="104"/>
      <c r="M20" s="4"/>
      <c r="N20" s="4"/>
      <c r="O20" s="4"/>
      <c r="P20" s="4"/>
      <c r="Q20" s="4"/>
      <c r="R20" s="4"/>
      <c r="S20" s="4"/>
    </row>
    <row r="21" spans="2:19" ht="19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9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5">
      <c r="B26" s="4"/>
      <c r="C26" s="4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</row>
    <row r="27" spans="2:19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</sheetData>
  <sheetProtection/>
  <mergeCells count="13">
    <mergeCell ref="A7:S7"/>
    <mergeCell ref="A4:A5"/>
    <mergeCell ref="B4:B5"/>
    <mergeCell ref="C4:C5"/>
    <mergeCell ref="D4:D5"/>
    <mergeCell ref="R4:R5"/>
    <mergeCell ref="S4:S5"/>
    <mergeCell ref="E4:J4"/>
    <mergeCell ref="K4:K5"/>
    <mergeCell ref="L4:N4"/>
    <mergeCell ref="P1:Q1"/>
    <mergeCell ref="P2:S2"/>
    <mergeCell ref="O4:Q4"/>
  </mergeCells>
  <printOptions/>
  <pageMargins left="0.3937007874015748" right="0.15748031496062992" top="0.5" bottom="0.984251968503937" header="0.17" footer="0.5118110236220472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W76"/>
  <sheetViews>
    <sheetView tabSelected="1" zoomScale="75" zoomScaleNormal="75" zoomScaleSheetLayoutView="75" workbookViewId="0" topLeftCell="B1">
      <selection activeCell="P2" sqref="P2:S2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42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0" customWidth="1"/>
    <col min="19" max="19" width="10.625" style="0" customWidth="1"/>
    <col min="20" max="21" width="11.50390625" style="0" customWidth="1"/>
    <col min="22" max="22" width="12.125" style="0" customWidth="1"/>
  </cols>
  <sheetData>
    <row r="1" spans="3:19" s="389" customFormat="1" ht="17.25" customHeight="1">
      <c r="C1" s="390"/>
      <c r="N1" s="397"/>
      <c r="O1" s="397"/>
      <c r="P1" s="462" t="s">
        <v>201</v>
      </c>
      <c r="Q1" s="462"/>
      <c r="R1" s="404"/>
      <c r="S1" s="51"/>
    </row>
    <row r="2" spans="3:19" s="389" customFormat="1" ht="48.75" customHeight="1">
      <c r="C2" s="390"/>
      <c r="N2" s="398"/>
      <c r="O2" s="398"/>
      <c r="P2" s="462" t="s">
        <v>192</v>
      </c>
      <c r="Q2" s="462"/>
      <c r="R2" s="462"/>
      <c r="S2" s="462"/>
    </row>
    <row r="3" spans="3:19" s="389" customFormat="1" ht="13.5">
      <c r="C3" s="390"/>
      <c r="N3" s="449"/>
      <c r="O3" s="449"/>
      <c r="P3" s="449"/>
      <c r="Q3" s="449"/>
      <c r="R3" s="449"/>
      <c r="S3" s="449"/>
    </row>
    <row r="4" spans="1:19" ht="15" customHeight="1">
      <c r="A4" s="457" t="s">
        <v>0</v>
      </c>
      <c r="B4" s="457" t="s">
        <v>1</v>
      </c>
      <c r="C4" s="457" t="s">
        <v>171</v>
      </c>
      <c r="D4" s="457" t="s">
        <v>97</v>
      </c>
      <c r="E4" s="450" t="s">
        <v>63</v>
      </c>
      <c r="F4" s="451"/>
      <c r="G4" s="451"/>
      <c r="H4" s="451"/>
      <c r="I4" s="451"/>
      <c r="J4" s="452"/>
      <c r="K4" s="455" t="s">
        <v>147</v>
      </c>
      <c r="L4" s="450" t="s">
        <v>64</v>
      </c>
      <c r="M4" s="451"/>
      <c r="N4" s="451"/>
      <c r="O4" s="450" t="s">
        <v>66</v>
      </c>
      <c r="P4" s="451"/>
      <c r="Q4" s="452"/>
      <c r="R4" s="457" t="s">
        <v>2</v>
      </c>
      <c r="S4" s="457" t="s">
        <v>3</v>
      </c>
    </row>
    <row r="5" spans="1:19" ht="79.5" customHeight="1">
      <c r="A5" s="458"/>
      <c r="B5" s="458"/>
      <c r="C5" s="458"/>
      <c r="D5" s="458"/>
      <c r="E5" s="37" t="s">
        <v>172</v>
      </c>
      <c r="F5" s="37" t="s">
        <v>175</v>
      </c>
      <c r="G5" s="37" t="s">
        <v>116</v>
      </c>
      <c r="H5" s="37" t="s">
        <v>183</v>
      </c>
      <c r="I5" s="37" t="s">
        <v>176</v>
      </c>
      <c r="J5" s="37" t="s">
        <v>184</v>
      </c>
      <c r="K5" s="456"/>
      <c r="L5" s="37" t="s">
        <v>177</v>
      </c>
      <c r="M5" s="37" t="s">
        <v>65</v>
      </c>
      <c r="N5" s="37" t="s">
        <v>61</v>
      </c>
      <c r="O5" s="37" t="s">
        <v>174</v>
      </c>
      <c r="P5" s="37" t="s">
        <v>100</v>
      </c>
      <c r="Q5" s="382" t="s">
        <v>185</v>
      </c>
      <c r="R5" s="458"/>
      <c r="S5" s="458"/>
    </row>
    <row r="6" spans="1:19" ht="12" customHeight="1">
      <c r="A6" s="40">
        <v>1</v>
      </c>
      <c r="B6" s="40">
        <v>2</v>
      </c>
      <c r="C6" s="321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</row>
    <row r="7" spans="1:19" ht="19.5" customHeight="1">
      <c r="A7" s="472" t="s">
        <v>24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291"/>
      <c r="R7" s="92"/>
      <c r="S7" s="93"/>
    </row>
    <row r="8" spans="1:19" ht="19.5" customHeight="1">
      <c r="A8" s="369">
        <v>1</v>
      </c>
      <c r="B8" s="370" t="s">
        <v>134</v>
      </c>
      <c r="C8" s="371">
        <v>1</v>
      </c>
      <c r="D8" s="372">
        <f>5815</f>
        <v>5815</v>
      </c>
      <c r="E8" s="372"/>
      <c r="F8" s="372"/>
      <c r="G8" s="372"/>
      <c r="H8" s="372"/>
      <c r="I8" s="372"/>
      <c r="J8" s="372"/>
      <c r="K8" s="372">
        <f>SUM(D8:J8)</f>
        <v>5815</v>
      </c>
      <c r="L8" s="372"/>
      <c r="M8" s="372"/>
      <c r="N8" s="372">
        <f>K8*30%</f>
        <v>1744.5</v>
      </c>
      <c r="O8" s="372"/>
      <c r="P8" s="372"/>
      <c r="Q8" s="147">
        <f>13500-(D8+N8)*C8</f>
        <v>5940.5</v>
      </c>
      <c r="R8" s="352">
        <f>SUM(K8:P8)*C8+Q8</f>
        <v>13500</v>
      </c>
      <c r="S8" s="373">
        <v>10</v>
      </c>
    </row>
    <row r="9" spans="1:19" ht="19.5" customHeight="1">
      <c r="A9" s="374">
        <v>2</v>
      </c>
      <c r="B9" s="145" t="s">
        <v>8</v>
      </c>
      <c r="C9" s="123">
        <f>0.75-0.25</f>
        <v>0.5</v>
      </c>
      <c r="D9" s="147">
        <f>7100*1</f>
        <v>7100</v>
      </c>
      <c r="E9" s="147"/>
      <c r="F9" s="147"/>
      <c r="G9" s="147"/>
      <c r="H9" s="147"/>
      <c r="I9" s="147"/>
      <c r="J9" s="147"/>
      <c r="K9" s="372">
        <f>SUM(D9:J9)</f>
        <v>7100</v>
      </c>
      <c r="L9" s="147"/>
      <c r="M9" s="147"/>
      <c r="N9" s="147"/>
      <c r="O9" s="147"/>
      <c r="P9" s="147">
        <f>3770*10%</f>
        <v>377</v>
      </c>
      <c r="Q9" s="147"/>
      <c r="R9" s="352">
        <f>SUM(K9:P9)*C9</f>
        <v>3738.5</v>
      </c>
      <c r="S9" s="150">
        <v>3</v>
      </c>
    </row>
    <row r="10" spans="1:19" ht="19.5" customHeight="1">
      <c r="A10" s="470" t="s">
        <v>27</v>
      </c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289"/>
      <c r="R10" s="262"/>
      <c r="S10" s="263"/>
    </row>
    <row r="11" spans="1:19" ht="19.5" customHeight="1">
      <c r="A11" s="369">
        <v>1</v>
      </c>
      <c r="B11" s="370" t="s">
        <v>134</v>
      </c>
      <c r="C11" s="371">
        <v>1</v>
      </c>
      <c r="D11" s="372">
        <f>4920</f>
        <v>4920</v>
      </c>
      <c r="E11" s="372"/>
      <c r="F11" s="372"/>
      <c r="G11" s="372"/>
      <c r="H11" s="372"/>
      <c r="I11" s="372"/>
      <c r="J11" s="372"/>
      <c r="K11" s="372">
        <f>SUM(D11:J11)</f>
        <v>4920</v>
      </c>
      <c r="L11" s="372"/>
      <c r="M11" s="372"/>
      <c r="N11" s="372">
        <f>K11*10%</f>
        <v>492</v>
      </c>
      <c r="O11" s="372"/>
      <c r="P11" s="372"/>
      <c r="Q11" s="147">
        <f>13500-(D11+N11)*C11</f>
        <v>8088</v>
      </c>
      <c r="R11" s="352">
        <f>SUM(K11:P11)*C11+Q11</f>
        <v>13500</v>
      </c>
      <c r="S11" s="373">
        <v>7</v>
      </c>
    </row>
    <row r="12" spans="1:19" ht="19.5" customHeight="1">
      <c r="A12" s="374">
        <v>2</v>
      </c>
      <c r="B12" s="145" t="s">
        <v>8</v>
      </c>
      <c r="C12" s="123">
        <f>0.75-0.25</f>
        <v>0.5</v>
      </c>
      <c r="D12" s="147">
        <f>7100*1</f>
        <v>7100</v>
      </c>
      <c r="E12" s="147"/>
      <c r="F12" s="147"/>
      <c r="G12" s="147"/>
      <c r="H12" s="147"/>
      <c r="I12" s="147"/>
      <c r="J12" s="147"/>
      <c r="K12" s="372">
        <f>SUM(D12:J12)</f>
        <v>7100</v>
      </c>
      <c r="L12" s="147"/>
      <c r="M12" s="147"/>
      <c r="N12" s="147"/>
      <c r="O12" s="147"/>
      <c r="P12" s="147">
        <f>3770*10%</f>
        <v>377</v>
      </c>
      <c r="Q12" s="147"/>
      <c r="R12" s="352">
        <f>SUM(K12:P12)*C12</f>
        <v>3738.5</v>
      </c>
      <c r="S12" s="150">
        <v>3</v>
      </c>
    </row>
    <row r="13" spans="1:19" ht="19.5" customHeight="1">
      <c r="A13" s="470" t="s">
        <v>28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289"/>
      <c r="R13" s="264"/>
      <c r="S13" s="265"/>
    </row>
    <row r="14" spans="1:19" ht="19.5" customHeight="1">
      <c r="A14" s="369">
        <v>1</v>
      </c>
      <c r="B14" s="370" t="s">
        <v>115</v>
      </c>
      <c r="C14" s="371">
        <v>1</v>
      </c>
      <c r="D14" s="372">
        <f>5815</f>
        <v>5815</v>
      </c>
      <c r="E14" s="372"/>
      <c r="F14" s="372"/>
      <c r="G14" s="372"/>
      <c r="H14" s="372"/>
      <c r="I14" s="372"/>
      <c r="J14" s="372"/>
      <c r="K14" s="372">
        <f>SUM(D14:J14)</f>
        <v>5815</v>
      </c>
      <c r="L14" s="372"/>
      <c r="M14" s="372"/>
      <c r="N14" s="372">
        <f>K14*30%</f>
        <v>1744.5</v>
      </c>
      <c r="O14" s="372"/>
      <c r="P14" s="372"/>
      <c r="Q14" s="147">
        <f>13500-(D14+N14)*C14</f>
        <v>5940.5</v>
      </c>
      <c r="R14" s="352">
        <f>SUM(K14:P14)*C14+Q14</f>
        <v>13500</v>
      </c>
      <c r="S14" s="373">
        <v>10</v>
      </c>
    </row>
    <row r="15" spans="1:19" ht="19.5" customHeight="1">
      <c r="A15" s="374">
        <v>2</v>
      </c>
      <c r="B15" s="145" t="s">
        <v>8</v>
      </c>
      <c r="C15" s="123">
        <v>0.5</v>
      </c>
      <c r="D15" s="147">
        <f>7100*1</f>
        <v>7100</v>
      </c>
      <c r="E15" s="147"/>
      <c r="F15" s="147"/>
      <c r="G15" s="147"/>
      <c r="H15" s="147"/>
      <c r="I15" s="147"/>
      <c r="J15" s="147"/>
      <c r="K15" s="372">
        <f>SUM(D15:J15)</f>
        <v>7100</v>
      </c>
      <c r="L15" s="147"/>
      <c r="M15" s="147"/>
      <c r="N15" s="147"/>
      <c r="O15" s="147"/>
      <c r="P15" s="147">
        <f>3770*10%</f>
        <v>377</v>
      </c>
      <c r="Q15" s="147"/>
      <c r="R15" s="352">
        <f>SUM(K15:P15)*C15</f>
        <v>3738.5</v>
      </c>
      <c r="S15" s="150">
        <v>3</v>
      </c>
    </row>
    <row r="16" spans="1:19" ht="19.5" customHeight="1">
      <c r="A16" s="470" t="s">
        <v>30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289"/>
      <c r="R16" s="264"/>
      <c r="S16" s="265"/>
    </row>
    <row r="17" spans="1:19" ht="19.5" customHeight="1">
      <c r="A17" s="369">
        <v>1</v>
      </c>
      <c r="B17" s="370" t="s">
        <v>134</v>
      </c>
      <c r="C17" s="371">
        <v>1</v>
      </c>
      <c r="D17" s="372">
        <f>4920</f>
        <v>4920</v>
      </c>
      <c r="E17" s="372"/>
      <c r="F17" s="372"/>
      <c r="G17" s="372"/>
      <c r="H17" s="372"/>
      <c r="I17" s="372"/>
      <c r="J17" s="372"/>
      <c r="K17" s="372">
        <f>SUM(D17:J17)</f>
        <v>4920</v>
      </c>
      <c r="L17" s="372"/>
      <c r="M17" s="372"/>
      <c r="N17" s="372">
        <f>K17*10%</f>
        <v>492</v>
      </c>
      <c r="O17" s="372"/>
      <c r="P17" s="372"/>
      <c r="Q17" s="147">
        <f>13500-(D17+N17)*C17</f>
        <v>8088</v>
      </c>
      <c r="R17" s="352">
        <f>SUM(K17:P17)*C17+Q17</f>
        <v>13500</v>
      </c>
      <c r="S17" s="373">
        <v>7</v>
      </c>
    </row>
    <row r="18" spans="1:19" ht="19.5" customHeight="1">
      <c r="A18" s="374">
        <v>2</v>
      </c>
      <c r="B18" s="145" t="s">
        <v>8</v>
      </c>
      <c r="C18" s="123">
        <f>0.75-0.25</f>
        <v>0.5</v>
      </c>
      <c r="D18" s="147">
        <f>7100*1</f>
        <v>7100</v>
      </c>
      <c r="E18" s="147"/>
      <c r="F18" s="147"/>
      <c r="G18" s="147"/>
      <c r="H18" s="147"/>
      <c r="I18" s="147"/>
      <c r="J18" s="147"/>
      <c r="K18" s="372">
        <f>SUM(D18:J18)</f>
        <v>7100</v>
      </c>
      <c r="L18" s="147"/>
      <c r="M18" s="147"/>
      <c r="N18" s="147"/>
      <c r="O18" s="147"/>
      <c r="P18" s="147">
        <f>3770*10%</f>
        <v>377</v>
      </c>
      <c r="Q18" s="147"/>
      <c r="R18" s="352">
        <f>SUM(K18:P18)*C18</f>
        <v>3738.5</v>
      </c>
      <c r="S18" s="150">
        <v>3</v>
      </c>
    </row>
    <row r="19" spans="1:19" ht="19.5" customHeight="1">
      <c r="A19" s="470" t="s">
        <v>32</v>
      </c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289"/>
      <c r="R19" s="264"/>
      <c r="S19" s="265"/>
    </row>
    <row r="20" spans="1:19" ht="19.5" customHeight="1">
      <c r="A20" s="369">
        <v>1</v>
      </c>
      <c r="B20" s="370" t="s">
        <v>115</v>
      </c>
      <c r="C20" s="371">
        <v>1</v>
      </c>
      <c r="D20" s="372">
        <f>5527</f>
        <v>5527</v>
      </c>
      <c r="E20" s="372"/>
      <c r="F20" s="372"/>
      <c r="G20" s="372"/>
      <c r="H20" s="372"/>
      <c r="I20" s="372"/>
      <c r="J20" s="372"/>
      <c r="K20" s="372">
        <f>SUM(D20:J20)</f>
        <v>5527</v>
      </c>
      <c r="L20" s="372"/>
      <c r="M20" s="372"/>
      <c r="N20" s="372">
        <f>K20*10%</f>
        <v>552.7</v>
      </c>
      <c r="O20" s="372"/>
      <c r="P20" s="372"/>
      <c r="Q20" s="147">
        <f>13500-(D20+N20)*C20</f>
        <v>7420.3</v>
      </c>
      <c r="R20" s="352">
        <f>SUM(K20:P20)*C20+Q20</f>
        <v>13500</v>
      </c>
      <c r="S20" s="373">
        <v>9</v>
      </c>
    </row>
    <row r="21" spans="1:19" ht="19.5" customHeight="1">
      <c r="A21" s="374">
        <v>2</v>
      </c>
      <c r="B21" s="353" t="s">
        <v>8</v>
      </c>
      <c r="C21" s="123">
        <f>0.75-0.25</f>
        <v>0.5</v>
      </c>
      <c r="D21" s="147">
        <f>7100*1</f>
        <v>7100</v>
      </c>
      <c r="E21" s="147"/>
      <c r="F21" s="147"/>
      <c r="G21" s="147"/>
      <c r="H21" s="147"/>
      <c r="I21" s="147"/>
      <c r="J21" s="147"/>
      <c r="K21" s="372">
        <f>SUM(D21:J21)</f>
        <v>7100</v>
      </c>
      <c r="L21" s="147"/>
      <c r="M21" s="147"/>
      <c r="N21" s="147"/>
      <c r="O21" s="147"/>
      <c r="P21" s="147">
        <f>3770*10%</f>
        <v>377</v>
      </c>
      <c r="Q21" s="147"/>
      <c r="R21" s="352">
        <f>SUM(K21:P21)*C21</f>
        <v>3738.5</v>
      </c>
      <c r="S21" s="150">
        <v>3</v>
      </c>
    </row>
    <row r="22" spans="1:19" ht="19.5" customHeight="1">
      <c r="A22" s="470" t="s">
        <v>29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289"/>
      <c r="R22" s="264"/>
      <c r="S22" s="265"/>
    </row>
    <row r="23" spans="1:19" s="97" customFormat="1" ht="19.5" customHeight="1">
      <c r="A23" s="369">
        <v>1</v>
      </c>
      <c r="B23" s="370" t="s">
        <v>115</v>
      </c>
      <c r="C23" s="371">
        <v>1</v>
      </c>
      <c r="D23" s="372">
        <f>5815</f>
        <v>5815</v>
      </c>
      <c r="E23" s="372"/>
      <c r="F23" s="372"/>
      <c r="G23" s="372"/>
      <c r="H23" s="372"/>
      <c r="I23" s="372"/>
      <c r="J23" s="372"/>
      <c r="K23" s="372">
        <f>SUM(D23:J23)</f>
        <v>5815</v>
      </c>
      <c r="L23" s="372"/>
      <c r="M23" s="372"/>
      <c r="N23" s="372">
        <f>K23*30%</f>
        <v>1744.5</v>
      </c>
      <c r="O23" s="372"/>
      <c r="P23" s="372"/>
      <c r="Q23" s="147">
        <f>13500-(D23+N23)*C23</f>
        <v>5940.5</v>
      </c>
      <c r="R23" s="352">
        <f>SUM(K23:P23)*C23+Q23</f>
        <v>13500</v>
      </c>
      <c r="S23" s="373">
        <v>10</v>
      </c>
    </row>
    <row r="24" spans="1:19" ht="19.5" customHeight="1">
      <c r="A24" s="374">
        <v>2</v>
      </c>
      <c r="B24" s="145" t="s">
        <v>8</v>
      </c>
      <c r="C24" s="123">
        <f>0.75-0.25</f>
        <v>0.5</v>
      </c>
      <c r="D24" s="147">
        <f>7100*1</f>
        <v>7100</v>
      </c>
      <c r="E24" s="147"/>
      <c r="F24" s="147"/>
      <c r="G24" s="147"/>
      <c r="H24" s="147"/>
      <c r="I24" s="147"/>
      <c r="J24" s="147"/>
      <c r="K24" s="372">
        <f>SUM(D24:J24)</f>
        <v>7100</v>
      </c>
      <c r="L24" s="147"/>
      <c r="M24" s="147"/>
      <c r="N24" s="147"/>
      <c r="O24" s="147"/>
      <c r="P24" s="147">
        <f>3770*10%</f>
        <v>377</v>
      </c>
      <c r="Q24" s="147"/>
      <c r="R24" s="352">
        <f>SUM(K24:P24)*C24</f>
        <v>3738.5</v>
      </c>
      <c r="S24" s="150">
        <v>3</v>
      </c>
    </row>
    <row r="25" spans="1:19" ht="19.5" customHeight="1">
      <c r="A25" s="470" t="s">
        <v>22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289"/>
      <c r="R25" s="264"/>
      <c r="S25" s="265"/>
    </row>
    <row r="26" spans="1:19" ht="19.5" customHeight="1">
      <c r="A26" s="369">
        <v>1</v>
      </c>
      <c r="B26" s="370" t="s">
        <v>115</v>
      </c>
      <c r="C26" s="371">
        <v>1</v>
      </c>
      <c r="D26" s="372">
        <f>4920</f>
        <v>4920</v>
      </c>
      <c r="E26" s="372"/>
      <c r="F26" s="372"/>
      <c r="G26" s="372"/>
      <c r="H26" s="372"/>
      <c r="I26" s="372"/>
      <c r="J26" s="372"/>
      <c r="K26" s="372">
        <f>SUM(D26:J26)</f>
        <v>4920</v>
      </c>
      <c r="L26" s="372"/>
      <c r="M26" s="372"/>
      <c r="N26" s="372">
        <f>K26*20%</f>
        <v>984</v>
      </c>
      <c r="O26" s="372"/>
      <c r="P26" s="372"/>
      <c r="Q26" s="147">
        <f>13500-(D26+N26)*C26</f>
        <v>7596</v>
      </c>
      <c r="R26" s="352">
        <f>SUM(K26:P26)*C26+Q26</f>
        <v>13500</v>
      </c>
      <c r="S26" s="373">
        <v>7</v>
      </c>
    </row>
    <row r="27" spans="1:19" ht="19.5" customHeight="1">
      <c r="A27" s="374">
        <v>2</v>
      </c>
      <c r="B27" s="145" t="s">
        <v>8</v>
      </c>
      <c r="C27" s="123">
        <v>0.5</v>
      </c>
      <c r="D27" s="147">
        <f>7100*1</f>
        <v>7100</v>
      </c>
      <c r="E27" s="147"/>
      <c r="F27" s="147"/>
      <c r="G27" s="147"/>
      <c r="H27" s="147"/>
      <c r="I27" s="147"/>
      <c r="J27" s="147"/>
      <c r="K27" s="372">
        <f>SUM(D27:J27)</f>
        <v>7100</v>
      </c>
      <c r="L27" s="147"/>
      <c r="M27" s="147"/>
      <c r="N27" s="147"/>
      <c r="O27" s="147"/>
      <c r="P27" s="147">
        <f>3770*10%</f>
        <v>377</v>
      </c>
      <c r="Q27" s="147"/>
      <c r="R27" s="352">
        <f>SUM(K27:P27)*C27</f>
        <v>3738.5</v>
      </c>
      <c r="S27" s="150">
        <v>3</v>
      </c>
    </row>
    <row r="28" spans="1:23" ht="19.5" customHeight="1">
      <c r="A28" s="474" t="s">
        <v>15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290"/>
      <c r="R28" s="90"/>
      <c r="S28" s="91"/>
      <c r="T28" s="87"/>
      <c r="U28" s="87"/>
      <c r="V28" s="87"/>
      <c r="W28" s="87"/>
    </row>
    <row r="29" spans="1:23" ht="19.5" customHeight="1">
      <c r="A29" s="369">
        <v>1</v>
      </c>
      <c r="B29" s="370" t="s">
        <v>134</v>
      </c>
      <c r="C29" s="371">
        <v>1</v>
      </c>
      <c r="D29" s="372">
        <f>4920</f>
        <v>4920</v>
      </c>
      <c r="E29" s="372"/>
      <c r="F29" s="372"/>
      <c r="G29" s="372"/>
      <c r="H29" s="372"/>
      <c r="I29" s="372"/>
      <c r="J29" s="372"/>
      <c r="K29" s="372">
        <f>SUM(D29:J29)</f>
        <v>4920</v>
      </c>
      <c r="L29" s="372"/>
      <c r="M29" s="372"/>
      <c r="N29" s="372">
        <f>K29*10%</f>
        <v>492</v>
      </c>
      <c r="O29" s="372"/>
      <c r="P29" s="372"/>
      <c r="Q29" s="147">
        <f>13500-(D29+N29)*C29</f>
        <v>8088</v>
      </c>
      <c r="R29" s="352">
        <f>SUM(K29:P29)*C29+Q29</f>
        <v>13500</v>
      </c>
      <c r="S29" s="373">
        <v>7</v>
      </c>
      <c r="T29" s="87"/>
      <c r="U29" s="87"/>
      <c r="V29" s="87"/>
      <c r="W29" s="87"/>
    </row>
    <row r="30" spans="1:23" ht="19.5" customHeight="1">
      <c r="A30" s="374">
        <v>2</v>
      </c>
      <c r="B30" s="145" t="s">
        <v>8</v>
      </c>
      <c r="C30" s="123">
        <f>0.75-0.25</f>
        <v>0.5</v>
      </c>
      <c r="D30" s="147">
        <f>7100*1</f>
        <v>7100</v>
      </c>
      <c r="E30" s="147"/>
      <c r="F30" s="147"/>
      <c r="G30" s="147"/>
      <c r="H30" s="147"/>
      <c r="I30" s="147"/>
      <c r="J30" s="147"/>
      <c r="K30" s="372">
        <f>SUM(D30:J30)</f>
        <v>7100</v>
      </c>
      <c r="L30" s="147"/>
      <c r="M30" s="147"/>
      <c r="N30" s="147"/>
      <c r="O30" s="147"/>
      <c r="P30" s="147">
        <f>3770*10%</f>
        <v>377</v>
      </c>
      <c r="Q30" s="147"/>
      <c r="R30" s="352">
        <f>SUM(K30:P30)*C30</f>
        <v>3738.5</v>
      </c>
      <c r="S30" s="150">
        <v>3</v>
      </c>
      <c r="T30" s="87"/>
      <c r="U30" s="87"/>
      <c r="V30" s="87"/>
      <c r="W30" s="87"/>
    </row>
    <row r="31" spans="1:23" ht="19.5" customHeight="1">
      <c r="A31" s="470" t="s">
        <v>16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289"/>
      <c r="R31" s="262"/>
      <c r="S31" s="263"/>
      <c r="T31" s="87"/>
      <c r="U31" s="87"/>
      <c r="V31" s="87"/>
      <c r="W31" s="87"/>
    </row>
    <row r="32" spans="1:23" ht="19.5" customHeight="1">
      <c r="A32" s="369">
        <v>1</v>
      </c>
      <c r="B32" s="370" t="s">
        <v>134</v>
      </c>
      <c r="C32" s="371">
        <v>1</v>
      </c>
      <c r="D32" s="372">
        <f>5527</f>
        <v>5527</v>
      </c>
      <c r="E32" s="372"/>
      <c r="F32" s="372"/>
      <c r="G32" s="372"/>
      <c r="H32" s="372"/>
      <c r="I32" s="372"/>
      <c r="J32" s="372"/>
      <c r="K32" s="372">
        <f>SUM(D32:J32)</f>
        <v>5527</v>
      </c>
      <c r="L32" s="372"/>
      <c r="M32" s="372"/>
      <c r="N32" s="372">
        <f>K32*20%</f>
        <v>1105.4</v>
      </c>
      <c r="O32" s="372"/>
      <c r="P32" s="372"/>
      <c r="Q32" s="147">
        <f>13500-(D32+N32)*C32</f>
        <v>6867.6</v>
      </c>
      <c r="R32" s="352">
        <f>SUM(K32:P32)*C32+Q32</f>
        <v>13500</v>
      </c>
      <c r="S32" s="373">
        <v>9</v>
      </c>
      <c r="T32" s="87"/>
      <c r="U32" s="87"/>
      <c r="V32" s="87"/>
      <c r="W32" s="87"/>
    </row>
    <row r="33" spans="1:23" ht="19.5" customHeight="1">
      <c r="A33" s="374">
        <v>2</v>
      </c>
      <c r="B33" s="145" t="s">
        <v>8</v>
      </c>
      <c r="C33" s="123">
        <f>0.75-0.25</f>
        <v>0.5</v>
      </c>
      <c r="D33" s="147">
        <f>7100*1</f>
        <v>7100</v>
      </c>
      <c r="E33" s="147"/>
      <c r="F33" s="147"/>
      <c r="G33" s="147"/>
      <c r="H33" s="147"/>
      <c r="I33" s="147"/>
      <c r="J33" s="147"/>
      <c r="K33" s="372">
        <f>SUM(D33:J33)</f>
        <v>7100</v>
      </c>
      <c r="L33" s="147"/>
      <c r="M33" s="147"/>
      <c r="N33" s="147"/>
      <c r="O33" s="147"/>
      <c r="P33" s="147">
        <f>3770*10%</f>
        <v>377</v>
      </c>
      <c r="Q33" s="147"/>
      <c r="R33" s="352">
        <f>SUM(K33:P33)*C33</f>
        <v>3738.5</v>
      </c>
      <c r="S33" s="150">
        <v>3</v>
      </c>
      <c r="T33" s="87"/>
      <c r="U33" s="87"/>
      <c r="V33" s="87"/>
      <c r="W33" s="87"/>
    </row>
    <row r="34" spans="1:23" ht="19.5" customHeight="1">
      <c r="A34" s="470" t="s">
        <v>17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289"/>
      <c r="R34" s="264"/>
      <c r="S34" s="265"/>
      <c r="T34" s="87"/>
      <c r="U34" s="87"/>
      <c r="V34" s="87"/>
      <c r="W34" s="87"/>
    </row>
    <row r="35" spans="1:23" ht="19.5" customHeight="1">
      <c r="A35" s="369">
        <v>1</v>
      </c>
      <c r="B35" s="370" t="s">
        <v>115</v>
      </c>
      <c r="C35" s="371">
        <v>1</v>
      </c>
      <c r="D35" s="375">
        <f>5240</f>
        <v>5240</v>
      </c>
      <c r="E35" s="375"/>
      <c r="F35" s="375"/>
      <c r="G35" s="375"/>
      <c r="H35" s="375"/>
      <c r="I35" s="375"/>
      <c r="J35" s="375" t="s">
        <v>88</v>
      </c>
      <c r="K35" s="372">
        <f>SUM(D35:J35)</f>
        <v>5240</v>
      </c>
      <c r="L35" s="375"/>
      <c r="M35" s="375"/>
      <c r="N35" s="372">
        <f>K35*10%</f>
        <v>524</v>
      </c>
      <c r="O35" s="375"/>
      <c r="P35" s="375"/>
      <c r="Q35" s="147">
        <f>13500-(D35+N35)*C35</f>
        <v>7736</v>
      </c>
      <c r="R35" s="352">
        <f>SUM(K35:P35)*C35+Q35</f>
        <v>13500</v>
      </c>
      <c r="S35" s="373">
        <v>8</v>
      </c>
      <c r="T35" s="87"/>
      <c r="U35" s="87"/>
      <c r="V35" s="87"/>
      <c r="W35" s="87"/>
    </row>
    <row r="36" spans="1:23" ht="19.5" customHeight="1">
      <c r="A36" s="374">
        <v>2</v>
      </c>
      <c r="B36" s="145" t="s">
        <v>8</v>
      </c>
      <c r="C36" s="123">
        <v>0.5</v>
      </c>
      <c r="D36" s="147">
        <f>7100*1</f>
        <v>7100</v>
      </c>
      <c r="E36" s="147"/>
      <c r="F36" s="147"/>
      <c r="G36" s="147"/>
      <c r="H36" s="147"/>
      <c r="I36" s="147"/>
      <c r="J36" s="147"/>
      <c r="K36" s="372">
        <f>SUM(D36:J36)</f>
        <v>7100</v>
      </c>
      <c r="L36" s="147"/>
      <c r="M36" s="147"/>
      <c r="N36" s="147"/>
      <c r="O36" s="147"/>
      <c r="P36" s="147">
        <f>3770*10%</f>
        <v>377</v>
      </c>
      <c r="Q36" s="147"/>
      <c r="R36" s="352">
        <f>SUM(K36:P36)*C36</f>
        <v>3738.5</v>
      </c>
      <c r="S36" s="150">
        <v>3</v>
      </c>
      <c r="T36" s="87"/>
      <c r="U36" s="87"/>
      <c r="V36" s="87"/>
      <c r="W36" s="87"/>
    </row>
    <row r="37" spans="1:23" ht="19.5" customHeight="1">
      <c r="A37" s="470" t="s">
        <v>18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289"/>
      <c r="R37" s="264"/>
      <c r="S37" s="265"/>
      <c r="T37" s="87"/>
      <c r="U37" s="87"/>
      <c r="V37" s="87"/>
      <c r="W37" s="87"/>
    </row>
    <row r="38" spans="1:23" ht="19.5" customHeight="1">
      <c r="A38" s="369">
        <v>1</v>
      </c>
      <c r="B38" s="370" t="s">
        <v>134</v>
      </c>
      <c r="C38" s="371">
        <v>1</v>
      </c>
      <c r="D38" s="372">
        <f>5815</f>
        <v>5815</v>
      </c>
      <c r="E38" s="372"/>
      <c r="F38" s="372"/>
      <c r="G38" s="372"/>
      <c r="H38" s="372"/>
      <c r="I38" s="372"/>
      <c r="J38" s="372"/>
      <c r="K38" s="372">
        <f>SUM(D38:J38)</f>
        <v>5815</v>
      </c>
      <c r="L38" s="372"/>
      <c r="M38" s="372"/>
      <c r="N38" s="372">
        <f>K38*30%</f>
        <v>1744.5</v>
      </c>
      <c r="O38" s="372"/>
      <c r="P38" s="372"/>
      <c r="Q38" s="147">
        <f>13500-(D38+N38)*C38</f>
        <v>5940.5</v>
      </c>
      <c r="R38" s="352">
        <f>SUM(K38:P38)*C38+Q38</f>
        <v>13500</v>
      </c>
      <c r="S38" s="373">
        <v>10</v>
      </c>
      <c r="T38" s="87"/>
      <c r="U38" s="87"/>
      <c r="V38" s="87"/>
      <c r="W38" s="87"/>
    </row>
    <row r="39" spans="1:23" ht="19.5" customHeight="1">
      <c r="A39" s="374">
        <v>2</v>
      </c>
      <c r="B39" s="145" t="s">
        <v>8</v>
      </c>
      <c r="C39" s="123">
        <v>0.5</v>
      </c>
      <c r="D39" s="147">
        <f>7100*1</f>
        <v>7100</v>
      </c>
      <c r="E39" s="147"/>
      <c r="F39" s="147"/>
      <c r="G39" s="147"/>
      <c r="H39" s="147"/>
      <c r="I39" s="147"/>
      <c r="J39" s="147"/>
      <c r="K39" s="372">
        <f>SUM(D39:J39)</f>
        <v>7100</v>
      </c>
      <c r="L39" s="147"/>
      <c r="M39" s="147"/>
      <c r="N39" s="147"/>
      <c r="O39" s="147"/>
      <c r="P39" s="147">
        <f>3770*10%</f>
        <v>377</v>
      </c>
      <c r="Q39" s="147"/>
      <c r="R39" s="352">
        <f>SUM(K39:P39)*C39</f>
        <v>3738.5</v>
      </c>
      <c r="S39" s="150">
        <v>3</v>
      </c>
      <c r="T39" s="87"/>
      <c r="U39" s="87"/>
      <c r="V39" s="87"/>
      <c r="W39" s="87"/>
    </row>
    <row r="40" spans="1:23" ht="19.5" customHeight="1">
      <c r="A40" s="476" t="s">
        <v>19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266"/>
      <c r="R40" s="266"/>
      <c r="S40" s="267"/>
      <c r="T40" s="87"/>
      <c r="U40" s="87"/>
      <c r="V40" s="87"/>
      <c r="W40" s="87"/>
    </row>
    <row r="41" spans="1:23" ht="19.5" customHeight="1">
      <c r="A41" s="369">
        <v>1</v>
      </c>
      <c r="B41" s="370" t="s">
        <v>134</v>
      </c>
      <c r="C41" s="371">
        <v>1</v>
      </c>
      <c r="D41" s="372">
        <f>5815</f>
        <v>5815</v>
      </c>
      <c r="E41" s="372"/>
      <c r="F41" s="372"/>
      <c r="G41" s="372"/>
      <c r="H41" s="372"/>
      <c r="I41" s="372"/>
      <c r="J41" s="372"/>
      <c r="K41" s="372">
        <f>SUM(D41:J41)</f>
        <v>5815</v>
      </c>
      <c r="L41" s="372"/>
      <c r="M41" s="372"/>
      <c r="N41" s="372">
        <f>K41*30%</f>
        <v>1744.5</v>
      </c>
      <c r="O41" s="372"/>
      <c r="P41" s="372"/>
      <c r="Q41" s="147">
        <f>13500-(D41+N41)*C41</f>
        <v>5940.5</v>
      </c>
      <c r="R41" s="352">
        <f>SUM(K41:P41)*C41+Q41</f>
        <v>13500</v>
      </c>
      <c r="S41" s="373">
        <v>10</v>
      </c>
      <c r="T41" s="87"/>
      <c r="U41" s="87"/>
      <c r="V41" s="87"/>
      <c r="W41" s="87"/>
    </row>
    <row r="42" spans="1:23" ht="19.5" customHeight="1">
      <c r="A42" s="374">
        <v>2</v>
      </c>
      <c r="B42" s="145" t="s">
        <v>8</v>
      </c>
      <c r="C42" s="123">
        <v>0.5</v>
      </c>
      <c r="D42" s="147">
        <f>7100*1</f>
        <v>7100</v>
      </c>
      <c r="E42" s="147"/>
      <c r="F42" s="147"/>
      <c r="G42" s="147"/>
      <c r="H42" s="147"/>
      <c r="I42" s="147"/>
      <c r="J42" s="147"/>
      <c r="K42" s="372">
        <f>SUM(D42:J42)</f>
        <v>7100</v>
      </c>
      <c r="L42" s="147"/>
      <c r="M42" s="147"/>
      <c r="N42" s="147"/>
      <c r="O42" s="147"/>
      <c r="P42" s="147">
        <f>3770*10%</f>
        <v>377</v>
      </c>
      <c r="Q42" s="147"/>
      <c r="R42" s="352">
        <f>SUM(K42:P42)*C42</f>
        <v>3738.5</v>
      </c>
      <c r="S42" s="150">
        <v>3</v>
      </c>
      <c r="T42" s="87"/>
      <c r="U42" s="87"/>
      <c r="V42" s="87"/>
      <c r="W42" s="87"/>
    </row>
    <row r="43" spans="1:23" ht="19.5" customHeight="1">
      <c r="A43" s="470" t="s">
        <v>20</v>
      </c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289"/>
      <c r="R43" s="264"/>
      <c r="S43" s="265"/>
      <c r="T43" s="87"/>
      <c r="U43" s="87"/>
      <c r="V43" s="87"/>
      <c r="W43" s="87"/>
    </row>
    <row r="44" spans="1:23" ht="19.5" customHeight="1">
      <c r="A44" s="161">
        <v>1</v>
      </c>
      <c r="B44" s="370" t="s">
        <v>134</v>
      </c>
      <c r="C44" s="167">
        <v>1</v>
      </c>
      <c r="D44" s="168">
        <f>4920</f>
        <v>4920</v>
      </c>
      <c r="E44" s="168"/>
      <c r="F44" s="168"/>
      <c r="G44" s="168"/>
      <c r="H44" s="168"/>
      <c r="I44" s="168"/>
      <c r="J44" s="168"/>
      <c r="K44" s="168">
        <f>SUM(D44:J44)</f>
        <v>4920</v>
      </c>
      <c r="L44" s="168"/>
      <c r="M44" s="168"/>
      <c r="N44" s="168">
        <f>K44*10%</f>
        <v>492</v>
      </c>
      <c r="O44" s="168"/>
      <c r="P44" s="168"/>
      <c r="Q44" s="147">
        <f>13500-(D44+N44)*C44</f>
        <v>8088</v>
      </c>
      <c r="R44" s="376">
        <f>SUM(K44:P44)*C44+Q44</f>
        <v>13500</v>
      </c>
      <c r="S44" s="171">
        <v>7</v>
      </c>
      <c r="T44" s="87"/>
      <c r="U44" s="87"/>
      <c r="V44" s="87"/>
      <c r="W44" s="87"/>
    </row>
    <row r="45" spans="1:23" ht="19.5" customHeight="1">
      <c r="A45" s="374">
        <v>2</v>
      </c>
      <c r="B45" s="145" t="s">
        <v>8</v>
      </c>
      <c r="C45" s="123">
        <f>0.75+0.25</f>
        <v>1</v>
      </c>
      <c r="D45" s="147">
        <f>7100*1</f>
        <v>7100</v>
      </c>
      <c r="E45" s="147"/>
      <c r="F45" s="147"/>
      <c r="G45" s="147"/>
      <c r="H45" s="147"/>
      <c r="I45" s="147"/>
      <c r="J45" s="147"/>
      <c r="K45" s="372">
        <f>SUM(D45:J45)</f>
        <v>7100</v>
      </c>
      <c r="L45" s="147"/>
      <c r="M45" s="147"/>
      <c r="N45" s="147"/>
      <c r="O45" s="147"/>
      <c r="P45" s="147">
        <f>3770*10%</f>
        <v>377</v>
      </c>
      <c r="Q45" s="147"/>
      <c r="R45" s="352">
        <f>SUM(K45:P45)*C45</f>
        <v>7477</v>
      </c>
      <c r="S45" s="150">
        <v>3</v>
      </c>
      <c r="T45" s="87"/>
      <c r="U45" s="87"/>
      <c r="V45" s="87"/>
      <c r="W45" s="87"/>
    </row>
    <row r="46" spans="1:23" ht="19.5" customHeight="1">
      <c r="A46" s="470" t="s">
        <v>21</v>
      </c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289"/>
      <c r="R46" s="264"/>
      <c r="S46" s="265"/>
      <c r="T46" s="87"/>
      <c r="U46" s="87"/>
      <c r="V46" s="87"/>
      <c r="W46" s="87"/>
    </row>
    <row r="47" spans="1:23" ht="19.5" customHeight="1">
      <c r="A47" s="369">
        <v>1</v>
      </c>
      <c r="B47" s="370" t="s">
        <v>134</v>
      </c>
      <c r="C47" s="371">
        <v>1</v>
      </c>
      <c r="D47" s="372">
        <f>5815</f>
        <v>5815</v>
      </c>
      <c r="E47" s="372"/>
      <c r="F47" s="372"/>
      <c r="G47" s="372"/>
      <c r="H47" s="372"/>
      <c r="I47" s="372"/>
      <c r="J47" s="372"/>
      <c r="K47" s="372">
        <f>SUM(D47:J47)</f>
        <v>5815</v>
      </c>
      <c r="L47" s="372"/>
      <c r="M47" s="372"/>
      <c r="N47" s="372">
        <f>K47*30%</f>
        <v>1744.5</v>
      </c>
      <c r="O47" s="372"/>
      <c r="P47" s="372"/>
      <c r="Q47" s="147">
        <f>13500-(D47+N47)*C47</f>
        <v>5940.5</v>
      </c>
      <c r="R47" s="352">
        <f>SUM(K47:P47)*C47+Q47</f>
        <v>13500</v>
      </c>
      <c r="S47" s="373">
        <v>10</v>
      </c>
      <c r="T47" s="87"/>
      <c r="U47" s="87"/>
      <c r="V47" s="87"/>
      <c r="W47" s="87"/>
    </row>
    <row r="48" spans="1:23" ht="19.5" customHeight="1">
      <c r="A48" s="374">
        <v>2</v>
      </c>
      <c r="B48" s="145" t="s">
        <v>8</v>
      </c>
      <c r="C48" s="123">
        <v>0.5</v>
      </c>
      <c r="D48" s="147">
        <f>7100*1</f>
        <v>7100</v>
      </c>
      <c r="E48" s="147"/>
      <c r="F48" s="147"/>
      <c r="G48" s="147"/>
      <c r="H48" s="147"/>
      <c r="I48" s="147"/>
      <c r="J48" s="147"/>
      <c r="K48" s="372">
        <f>SUM(D48:J48)</f>
        <v>7100</v>
      </c>
      <c r="L48" s="147"/>
      <c r="M48" s="147"/>
      <c r="N48" s="147"/>
      <c r="O48" s="147"/>
      <c r="P48" s="147">
        <f>3770*10%</f>
        <v>377</v>
      </c>
      <c r="Q48" s="147"/>
      <c r="R48" s="352">
        <f>SUM(K48:P48)*C48</f>
        <v>3738.5</v>
      </c>
      <c r="S48" s="150">
        <v>3</v>
      </c>
      <c r="T48" s="87"/>
      <c r="U48" s="87"/>
      <c r="V48" s="87"/>
      <c r="W48" s="87"/>
    </row>
    <row r="49" spans="1:23" ht="19.5" customHeight="1">
      <c r="A49" s="470" t="s">
        <v>23</v>
      </c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289"/>
      <c r="R49" s="264"/>
      <c r="S49" s="265"/>
      <c r="T49" s="87"/>
      <c r="U49" s="87"/>
      <c r="V49" s="87"/>
      <c r="W49" s="87"/>
    </row>
    <row r="50" spans="1:23" ht="19.5" customHeight="1">
      <c r="A50" s="369">
        <v>1</v>
      </c>
      <c r="B50" s="370" t="s">
        <v>115</v>
      </c>
      <c r="C50" s="371">
        <v>1</v>
      </c>
      <c r="D50" s="372">
        <f>5240</f>
        <v>5240</v>
      </c>
      <c r="E50" s="372"/>
      <c r="F50" s="372"/>
      <c r="G50" s="372"/>
      <c r="H50" s="372"/>
      <c r="I50" s="372"/>
      <c r="J50" s="372"/>
      <c r="K50" s="372">
        <f>SUM(D50:J50)</f>
        <v>5240</v>
      </c>
      <c r="L50" s="372"/>
      <c r="M50" s="372"/>
      <c r="N50" s="372">
        <f>K50*10%</f>
        <v>524</v>
      </c>
      <c r="O50" s="372"/>
      <c r="P50" s="372"/>
      <c r="Q50" s="147">
        <f>13500-(D50+N50)*C50</f>
        <v>7736</v>
      </c>
      <c r="R50" s="352">
        <f>SUM(K50:P50)*C50+Q50</f>
        <v>13500</v>
      </c>
      <c r="S50" s="373">
        <v>8</v>
      </c>
      <c r="T50" s="87"/>
      <c r="U50" s="87"/>
      <c r="V50" s="87"/>
      <c r="W50" s="87"/>
    </row>
    <row r="51" spans="1:23" ht="19.5" customHeight="1">
      <c r="A51" s="374">
        <v>2</v>
      </c>
      <c r="B51" s="145" t="s">
        <v>8</v>
      </c>
      <c r="C51" s="123">
        <f>0.75-0.25</f>
        <v>0.5</v>
      </c>
      <c r="D51" s="147">
        <f>7100*1</f>
        <v>7100</v>
      </c>
      <c r="E51" s="147"/>
      <c r="F51" s="147"/>
      <c r="G51" s="147"/>
      <c r="H51" s="147"/>
      <c r="I51" s="147"/>
      <c r="J51" s="147"/>
      <c r="K51" s="372">
        <f>SUM(D51:J51)</f>
        <v>7100</v>
      </c>
      <c r="L51" s="147"/>
      <c r="M51" s="147"/>
      <c r="N51" s="147"/>
      <c r="O51" s="147"/>
      <c r="P51" s="147">
        <f>3770*10%</f>
        <v>377</v>
      </c>
      <c r="Q51" s="147"/>
      <c r="R51" s="352">
        <f>SUM(K51:P51)*C51</f>
        <v>3738.5</v>
      </c>
      <c r="S51" s="150">
        <v>3</v>
      </c>
      <c r="T51" s="87"/>
      <c r="U51" s="87"/>
      <c r="V51" s="87"/>
      <c r="W51" s="87"/>
    </row>
    <row r="52" spans="1:19" ht="19.5" customHeight="1">
      <c r="A52" s="470" t="s">
        <v>31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289"/>
      <c r="R52" s="264"/>
      <c r="S52" s="265"/>
    </row>
    <row r="53" spans="1:19" ht="19.5" customHeight="1">
      <c r="A53" s="369">
        <v>1</v>
      </c>
      <c r="B53" s="370" t="s">
        <v>115</v>
      </c>
      <c r="C53" s="371">
        <v>1</v>
      </c>
      <c r="D53" s="372">
        <f>5527</f>
        <v>5527</v>
      </c>
      <c r="E53" s="372"/>
      <c r="F53" s="372"/>
      <c r="G53" s="372"/>
      <c r="H53" s="372"/>
      <c r="I53" s="372"/>
      <c r="J53" s="372"/>
      <c r="K53" s="372">
        <f>SUM(D53:J53)</f>
        <v>5527</v>
      </c>
      <c r="L53" s="372"/>
      <c r="M53" s="372"/>
      <c r="N53" s="372">
        <f>K53*20%</f>
        <v>1105.4</v>
      </c>
      <c r="O53" s="372"/>
      <c r="P53" s="372"/>
      <c r="Q53" s="147">
        <f>13500-(D53+N53)*C53</f>
        <v>6867.6</v>
      </c>
      <c r="R53" s="352">
        <f>SUM(K53:P53)*C53+Q53</f>
        <v>13500</v>
      </c>
      <c r="S53" s="373">
        <v>9</v>
      </c>
    </row>
    <row r="54" spans="1:19" ht="19.5" customHeight="1">
      <c r="A54" s="369">
        <v>2</v>
      </c>
      <c r="B54" s="214" t="s">
        <v>8</v>
      </c>
      <c r="C54" s="124">
        <v>0.5</v>
      </c>
      <c r="D54" s="147">
        <f>7100*1</f>
        <v>7100</v>
      </c>
      <c r="E54" s="147"/>
      <c r="F54" s="149"/>
      <c r="G54" s="149"/>
      <c r="H54" s="149"/>
      <c r="I54" s="149"/>
      <c r="J54" s="149"/>
      <c r="K54" s="372">
        <f>SUM(D54:J54)</f>
        <v>7100</v>
      </c>
      <c r="L54" s="149"/>
      <c r="M54" s="149"/>
      <c r="N54" s="372"/>
      <c r="O54" s="149"/>
      <c r="P54" s="147">
        <f>3770*10%</f>
        <v>377</v>
      </c>
      <c r="Q54" s="147"/>
      <c r="R54" s="352">
        <f>SUM(K54:P54)*C54</f>
        <v>3738.5</v>
      </c>
      <c r="S54" s="215">
        <v>3</v>
      </c>
    </row>
    <row r="55" spans="1:19" ht="19.5" customHeight="1">
      <c r="A55" s="470" t="s">
        <v>33</v>
      </c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289"/>
      <c r="R55" s="264"/>
      <c r="S55" s="265"/>
    </row>
    <row r="56" spans="1:19" ht="19.5" customHeight="1">
      <c r="A56" s="369">
        <v>1</v>
      </c>
      <c r="B56" s="370" t="s">
        <v>134</v>
      </c>
      <c r="C56" s="371">
        <v>1</v>
      </c>
      <c r="D56" s="372">
        <f>5527</f>
        <v>5527</v>
      </c>
      <c r="E56" s="372"/>
      <c r="F56" s="372"/>
      <c r="G56" s="372"/>
      <c r="H56" s="372"/>
      <c r="I56" s="372"/>
      <c r="J56" s="372"/>
      <c r="K56" s="372">
        <f>SUM(D56:J56)</f>
        <v>5527</v>
      </c>
      <c r="L56" s="372"/>
      <c r="M56" s="372"/>
      <c r="N56" s="372">
        <f>K56*20%</f>
        <v>1105.4</v>
      </c>
      <c r="O56" s="372"/>
      <c r="P56" s="372"/>
      <c r="Q56" s="147">
        <f>13500-(D56+N56)*C56</f>
        <v>6867.6</v>
      </c>
      <c r="R56" s="352">
        <f>SUM(K56:P56)*C56+Q56</f>
        <v>13500</v>
      </c>
      <c r="S56" s="373">
        <v>9</v>
      </c>
    </row>
    <row r="57" spans="1:19" ht="19.5" customHeight="1">
      <c r="A57" s="374">
        <v>2</v>
      </c>
      <c r="B57" s="353" t="s">
        <v>8</v>
      </c>
      <c r="C57" s="123">
        <v>0.5</v>
      </c>
      <c r="D57" s="147">
        <f>7100*1</f>
        <v>7100</v>
      </c>
      <c r="E57" s="147"/>
      <c r="F57" s="147"/>
      <c r="G57" s="147"/>
      <c r="H57" s="147"/>
      <c r="I57" s="147"/>
      <c r="J57" s="147"/>
      <c r="K57" s="372">
        <f>SUM(D57:J57)</f>
        <v>7100</v>
      </c>
      <c r="L57" s="147"/>
      <c r="M57" s="147"/>
      <c r="N57" s="147"/>
      <c r="O57" s="147"/>
      <c r="P57" s="147">
        <f>3770*10%</f>
        <v>377</v>
      </c>
      <c r="Q57" s="147"/>
      <c r="R57" s="352">
        <f>SUM(K57:P57)*C57</f>
        <v>3738.5</v>
      </c>
      <c r="S57" s="150">
        <v>3</v>
      </c>
    </row>
    <row r="58" spans="1:19" ht="19.5" customHeight="1">
      <c r="A58" s="470" t="s">
        <v>25</v>
      </c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289"/>
      <c r="R58" s="264"/>
      <c r="S58" s="265"/>
    </row>
    <row r="59" spans="1:19" ht="19.5" customHeight="1">
      <c r="A59" s="369">
        <v>1</v>
      </c>
      <c r="B59" s="370" t="s">
        <v>115</v>
      </c>
      <c r="C59" s="371">
        <v>1</v>
      </c>
      <c r="D59" s="372">
        <f>4920</f>
        <v>4920</v>
      </c>
      <c r="E59" s="372"/>
      <c r="F59" s="372"/>
      <c r="G59" s="372"/>
      <c r="H59" s="372"/>
      <c r="I59" s="372"/>
      <c r="J59" s="372"/>
      <c r="K59" s="372">
        <f>SUM(D59:J59)</f>
        <v>4920</v>
      </c>
      <c r="L59" s="372"/>
      <c r="M59" s="372"/>
      <c r="N59" s="372">
        <f>K59*10%</f>
        <v>492</v>
      </c>
      <c r="O59" s="372"/>
      <c r="P59" s="372"/>
      <c r="Q59" s="147">
        <f>13500-(D59+N59)*C59</f>
        <v>8088</v>
      </c>
      <c r="R59" s="352">
        <f>SUM(K59:P59)*C59+Q59</f>
        <v>13500</v>
      </c>
      <c r="S59" s="373">
        <v>7</v>
      </c>
    </row>
    <row r="60" spans="1:19" ht="19.5" customHeight="1">
      <c r="A60" s="374">
        <v>2</v>
      </c>
      <c r="B60" s="145" t="s">
        <v>8</v>
      </c>
      <c r="C60" s="123">
        <v>0.5</v>
      </c>
      <c r="D60" s="147">
        <f>7100*1</f>
        <v>7100</v>
      </c>
      <c r="E60" s="147"/>
      <c r="F60" s="147"/>
      <c r="G60" s="147"/>
      <c r="H60" s="147"/>
      <c r="I60" s="147"/>
      <c r="J60" s="147"/>
      <c r="K60" s="372">
        <f>SUM(D60:J60)</f>
        <v>7100</v>
      </c>
      <c r="L60" s="147"/>
      <c r="M60" s="147"/>
      <c r="N60" s="147"/>
      <c r="O60" s="147"/>
      <c r="P60" s="147">
        <f>3770*10%</f>
        <v>377</v>
      </c>
      <c r="Q60" s="147"/>
      <c r="R60" s="352">
        <f>SUM(K60:P60)*C60</f>
        <v>3738.5</v>
      </c>
      <c r="S60" s="150">
        <v>3</v>
      </c>
    </row>
    <row r="61" spans="1:19" ht="19.5" customHeight="1">
      <c r="A61" s="470" t="s">
        <v>26</v>
      </c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289"/>
      <c r="R61" s="264"/>
      <c r="S61" s="265"/>
    </row>
    <row r="62" spans="1:19" ht="19.5" customHeight="1">
      <c r="A62" s="369">
        <v>1</v>
      </c>
      <c r="B62" s="370" t="s">
        <v>134</v>
      </c>
      <c r="C62" s="371">
        <v>1</v>
      </c>
      <c r="D62" s="372">
        <f>5527</f>
        <v>5527</v>
      </c>
      <c r="E62" s="372"/>
      <c r="F62" s="372"/>
      <c r="G62" s="372"/>
      <c r="H62" s="372"/>
      <c r="I62" s="372"/>
      <c r="J62" s="372"/>
      <c r="K62" s="372">
        <f>SUM(D62:J62)</f>
        <v>5527</v>
      </c>
      <c r="L62" s="372"/>
      <c r="M62" s="372"/>
      <c r="N62" s="372">
        <f>K62*20%</f>
        <v>1105.4</v>
      </c>
      <c r="O62" s="372"/>
      <c r="P62" s="372"/>
      <c r="Q62" s="147">
        <f>13500-(D62+N62)*C62</f>
        <v>6867.6</v>
      </c>
      <c r="R62" s="352">
        <f>SUM(K62:P62)*C62+Q62</f>
        <v>13500</v>
      </c>
      <c r="S62" s="373">
        <v>9</v>
      </c>
    </row>
    <row r="63" spans="1:19" ht="19.5" customHeight="1">
      <c r="A63" s="374">
        <v>2</v>
      </c>
      <c r="B63" s="353" t="s">
        <v>8</v>
      </c>
      <c r="C63" s="123">
        <f>0.75-0.25</f>
        <v>0.5</v>
      </c>
      <c r="D63" s="147">
        <f>7100*1</f>
        <v>7100</v>
      </c>
      <c r="E63" s="147"/>
      <c r="F63" s="147"/>
      <c r="G63" s="147"/>
      <c r="H63" s="147"/>
      <c r="I63" s="147"/>
      <c r="J63" s="147"/>
      <c r="K63" s="372">
        <f>SUM(D63:J63)</f>
        <v>7100</v>
      </c>
      <c r="L63" s="147"/>
      <c r="M63" s="147"/>
      <c r="N63" s="147"/>
      <c r="O63" s="147"/>
      <c r="P63" s="147">
        <f>3770*10%</f>
        <v>377</v>
      </c>
      <c r="Q63" s="147"/>
      <c r="R63" s="352">
        <f>SUM(K63:P63)*C63</f>
        <v>3738.5</v>
      </c>
      <c r="S63" s="150">
        <v>3</v>
      </c>
    </row>
    <row r="64" spans="1:19" ht="19.5" customHeight="1">
      <c r="A64" s="470" t="s">
        <v>56</v>
      </c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  <c r="P64" s="471"/>
      <c r="Q64" s="289"/>
      <c r="R64" s="264"/>
      <c r="S64" s="265"/>
    </row>
    <row r="65" spans="1:19" ht="19.5" customHeight="1">
      <c r="A65" s="369">
        <v>1</v>
      </c>
      <c r="B65" s="370" t="s">
        <v>115</v>
      </c>
      <c r="C65" s="371">
        <v>1</v>
      </c>
      <c r="D65" s="372">
        <f>4920</f>
        <v>4920</v>
      </c>
      <c r="E65" s="372"/>
      <c r="F65" s="372"/>
      <c r="G65" s="372"/>
      <c r="H65" s="372"/>
      <c r="I65" s="372"/>
      <c r="J65" s="372"/>
      <c r="K65" s="372">
        <f>SUM(D65:J65)</f>
        <v>4920</v>
      </c>
      <c r="L65" s="372"/>
      <c r="M65" s="372"/>
      <c r="N65" s="372">
        <f>K65*10%</f>
        <v>492</v>
      </c>
      <c r="O65" s="372"/>
      <c r="P65" s="372"/>
      <c r="Q65" s="147">
        <f>13500-(D65+N65)*C65</f>
        <v>8088</v>
      </c>
      <c r="R65" s="352">
        <f>SUM(K65:P65)*C65+Q65</f>
        <v>13500</v>
      </c>
      <c r="S65" s="373">
        <v>10</v>
      </c>
    </row>
    <row r="66" spans="1:19" ht="19.5" customHeight="1">
      <c r="A66" s="374">
        <v>2</v>
      </c>
      <c r="B66" s="145" t="s">
        <v>8</v>
      </c>
      <c r="C66" s="123">
        <f>0.75-0.25</f>
        <v>0.5</v>
      </c>
      <c r="D66" s="147">
        <f>7100*1</f>
        <v>7100</v>
      </c>
      <c r="E66" s="147"/>
      <c r="F66" s="147"/>
      <c r="G66" s="147"/>
      <c r="H66" s="147"/>
      <c r="I66" s="147"/>
      <c r="J66" s="147"/>
      <c r="K66" s="372">
        <f>SUM(D66:J66)</f>
        <v>7100</v>
      </c>
      <c r="L66" s="147"/>
      <c r="M66" s="147"/>
      <c r="N66" s="147"/>
      <c r="O66" s="147"/>
      <c r="P66" s="147">
        <f>3770*10%</f>
        <v>377</v>
      </c>
      <c r="Q66" s="147"/>
      <c r="R66" s="352">
        <f>SUM(K66:P66)*C66</f>
        <v>3738.5</v>
      </c>
      <c r="S66" s="150">
        <v>3</v>
      </c>
    </row>
    <row r="67" spans="1:23" ht="19.5" customHeight="1">
      <c r="A67" s="261"/>
      <c r="B67" s="260"/>
      <c r="C67" s="14"/>
      <c r="D67" s="258"/>
      <c r="E67" s="258"/>
      <c r="F67" s="258"/>
      <c r="G67" s="258"/>
      <c r="H67" s="258"/>
      <c r="I67" s="258"/>
      <c r="J67" s="258"/>
      <c r="K67" s="257"/>
      <c r="L67" s="258"/>
      <c r="M67" s="258"/>
      <c r="N67" s="258"/>
      <c r="O67" s="258"/>
      <c r="P67" s="258"/>
      <c r="Q67" s="258"/>
      <c r="R67" s="259"/>
      <c r="S67" s="13"/>
      <c r="T67" s="87"/>
      <c r="U67" s="87"/>
      <c r="V67" s="87"/>
      <c r="W67" s="87"/>
    </row>
    <row r="68" spans="1:19" ht="19.5" customHeight="1">
      <c r="A68" s="174"/>
      <c r="B68" s="174" t="s">
        <v>90</v>
      </c>
      <c r="C68" s="377">
        <f>C69+C70</f>
        <v>30.5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9">
        <f>R69+R70</f>
        <v>348508.5</v>
      </c>
      <c r="S68" s="373"/>
    </row>
    <row r="69" spans="1:19" ht="19.5" customHeight="1">
      <c r="A69" s="380"/>
      <c r="B69" s="381" t="s">
        <v>7</v>
      </c>
      <c r="C69" s="377">
        <f>C8+C11+C14+C17+C20+C23+C26+C29+C32+C35+C38+C41+C44+C47+C50+C53+C56+C59+C62+C65</f>
        <v>20</v>
      </c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9">
        <f>R8+R11+R14+R17+R20+R23+R26+R29+R32+R35+R38+R41+R44+R47+R50+R53+R56+R59+R62+R65</f>
        <v>270000</v>
      </c>
      <c r="S69" s="373"/>
    </row>
    <row r="70" spans="1:22" ht="19.5" customHeight="1">
      <c r="A70" s="351"/>
      <c r="B70" s="356" t="s">
        <v>11</v>
      </c>
      <c r="C70" s="357">
        <f>C9+C12+C15+C18+C21+C24+C27+C30+C33+C36+C39+C42+C45+C48+C51+C54+C57+C60+C63+C66</f>
        <v>10.5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358">
        <f>R9+R12+R15+R18+R21+R24+R27+R30+R33+R36+R39+R42+R45+R48+R51+R54+R57+R60+R63+R66</f>
        <v>78508.5</v>
      </c>
      <c r="S70" s="150"/>
      <c r="V70" s="42"/>
    </row>
    <row r="71" spans="1:19" ht="19.5" customHeight="1">
      <c r="A71" s="4"/>
      <c r="B71" s="4"/>
      <c r="C71" s="105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4"/>
      <c r="P71" s="4"/>
      <c r="Q71" s="4"/>
      <c r="R71" s="4"/>
      <c r="S71" s="4"/>
    </row>
    <row r="72" spans="1:19" ht="17.25">
      <c r="A72" s="4"/>
      <c r="B72" s="4"/>
      <c r="C72" s="105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4"/>
      <c r="P72" s="4"/>
      <c r="Q72" s="4"/>
      <c r="R72" s="4"/>
      <c r="S72" s="4"/>
    </row>
    <row r="73" spans="1:19" ht="15">
      <c r="A73" s="4"/>
      <c r="B73" s="4"/>
      <c r="C73" s="3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5">
      <c r="A74" s="4"/>
      <c r="B74" s="4"/>
      <c r="C74" s="3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5">
      <c r="A75" s="4"/>
      <c r="B75" s="4"/>
      <c r="C75" s="35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</row>
    <row r="76" spans="1:19" ht="15">
      <c r="A76" s="4"/>
      <c r="B76" s="4"/>
      <c r="C76" s="35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</row>
  </sheetData>
  <sheetProtection/>
  <autoFilter ref="S4:S76"/>
  <mergeCells count="33">
    <mergeCell ref="A40:P40"/>
    <mergeCell ref="A43:P43"/>
    <mergeCell ref="A64:P64"/>
    <mergeCell ref="A46:P46"/>
    <mergeCell ref="A49:P49"/>
    <mergeCell ref="A52:P52"/>
    <mergeCell ref="A55:P55"/>
    <mergeCell ref="A58:P58"/>
    <mergeCell ref="A61:P61"/>
    <mergeCell ref="A28:P28"/>
    <mergeCell ref="A31:P31"/>
    <mergeCell ref="A34:P34"/>
    <mergeCell ref="A37:P37"/>
    <mergeCell ref="A25:P25"/>
    <mergeCell ref="L4:N4"/>
    <mergeCell ref="A13:P13"/>
    <mergeCell ref="A16:P16"/>
    <mergeCell ref="A19:P19"/>
    <mergeCell ref="A22:P22"/>
    <mergeCell ref="A7:P7"/>
    <mergeCell ref="A10:P10"/>
    <mergeCell ref="A4:A5"/>
    <mergeCell ref="B4:B5"/>
    <mergeCell ref="P1:Q1"/>
    <mergeCell ref="P2:S2"/>
    <mergeCell ref="C4:C5"/>
    <mergeCell ref="D4:D5"/>
    <mergeCell ref="E4:J4"/>
    <mergeCell ref="N3:S3"/>
    <mergeCell ref="K4:K5"/>
    <mergeCell ref="O4:Q4"/>
    <mergeCell ref="R4:R5"/>
    <mergeCell ref="S4:S5"/>
  </mergeCells>
  <printOptions/>
  <pageMargins left="0.2362204724409449" right="0.15748031496062992" top="0.62" bottom="0.38" header="0.46" footer="0.1574803149606299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42"/>
  <sheetViews>
    <sheetView view="pageBreakPreview" zoomScale="75" zoomScaleNormal="75" zoomScaleSheetLayoutView="75" zoomScalePageLayoutView="0" workbookViewId="0" topLeftCell="A1">
      <selection activeCell="J10" sqref="J10:O10"/>
    </sheetView>
  </sheetViews>
  <sheetFormatPr defaultColWidth="9.00390625" defaultRowHeight="12.75"/>
  <cols>
    <col min="2" max="2" width="10.125" style="0" customWidth="1"/>
    <col min="3" max="3" width="10.50390625" style="0" customWidth="1"/>
    <col min="4" max="4" width="11.00390625" style="0" customWidth="1"/>
    <col min="5" max="5" width="10.625" style="0" customWidth="1"/>
    <col min="6" max="6" width="10.125" style="0" customWidth="1"/>
    <col min="7" max="7" width="10.00390625" style="0" customWidth="1"/>
    <col min="8" max="8" width="9.625" style="0" customWidth="1"/>
    <col min="9" max="9" width="11.50390625" style="0" customWidth="1"/>
    <col min="10" max="10" width="12.50390625" style="0" customWidth="1"/>
    <col min="11" max="11" width="11.875" style="0" customWidth="1"/>
    <col min="12" max="12" width="12.00390625" style="0" customWidth="1"/>
    <col min="13" max="13" width="11.50390625" style="0" customWidth="1"/>
    <col min="14" max="14" width="9.375" style="0" bestFit="1" customWidth="1"/>
    <col min="15" max="15" width="9.50390625" style="0" customWidth="1"/>
  </cols>
  <sheetData>
    <row r="1" spans="1:16" ht="15">
      <c r="A1" s="18"/>
      <c r="B1" s="119"/>
      <c r="C1" s="119"/>
      <c r="D1" s="119"/>
      <c r="E1" s="119"/>
      <c r="F1" s="119"/>
      <c r="G1" s="119"/>
      <c r="H1" s="18"/>
      <c r="I1" s="119"/>
      <c r="J1" s="119"/>
      <c r="K1" s="412"/>
      <c r="L1" s="412"/>
      <c r="M1" s="119"/>
      <c r="N1" s="119"/>
      <c r="O1" s="119"/>
      <c r="P1" s="119"/>
    </row>
    <row r="2" spans="1:16" ht="43.5" customHeight="1">
      <c r="A2" s="18"/>
      <c r="B2" s="119"/>
      <c r="C2" s="119"/>
      <c r="D2" s="119"/>
      <c r="E2" s="119"/>
      <c r="F2" s="119"/>
      <c r="G2" s="119"/>
      <c r="H2" s="18"/>
      <c r="I2" s="119"/>
      <c r="J2" s="119"/>
      <c r="K2" s="413"/>
      <c r="L2" s="413"/>
      <c r="M2" s="413"/>
      <c r="N2" s="413"/>
      <c r="O2" s="413"/>
      <c r="P2" s="119"/>
    </row>
    <row r="3" spans="1:16" ht="15">
      <c r="A3" s="18"/>
      <c r="B3" s="119"/>
      <c r="C3" s="119"/>
      <c r="D3" s="119"/>
      <c r="E3" s="119"/>
      <c r="F3" s="119"/>
      <c r="G3" s="119"/>
      <c r="H3" s="18"/>
      <c r="I3" s="119"/>
      <c r="J3" s="119"/>
      <c r="K3" s="119"/>
      <c r="L3" s="119"/>
      <c r="M3" s="119"/>
      <c r="N3" s="119"/>
      <c r="O3" s="119"/>
      <c r="P3" s="119"/>
    </row>
    <row r="4" spans="1:16" ht="15">
      <c r="A4" s="18"/>
      <c r="B4" s="119"/>
      <c r="C4" s="119"/>
      <c r="D4" s="119"/>
      <c r="E4" s="119"/>
      <c r="F4" s="119"/>
      <c r="G4" s="119"/>
      <c r="H4" s="18"/>
      <c r="I4" s="119"/>
      <c r="J4" s="119"/>
      <c r="K4" s="119"/>
      <c r="L4" s="119"/>
      <c r="M4" s="119"/>
      <c r="N4" s="119"/>
      <c r="O4" s="119"/>
      <c r="P4" s="119"/>
    </row>
    <row r="5" spans="1:16" ht="15">
      <c r="A5" s="18"/>
      <c r="B5" s="119"/>
      <c r="C5" s="119"/>
      <c r="D5" s="119"/>
      <c r="E5" s="119"/>
      <c r="F5" s="119"/>
      <c r="G5" s="119"/>
      <c r="H5" s="18"/>
      <c r="I5" s="119"/>
      <c r="J5" s="119"/>
      <c r="K5" s="119"/>
      <c r="L5" s="119"/>
      <c r="M5" s="119"/>
      <c r="N5" s="119"/>
      <c r="O5" s="119"/>
      <c r="P5" s="119"/>
    </row>
    <row r="6" spans="1:16" ht="16.5">
      <c r="A6" s="18"/>
      <c r="B6" s="399"/>
      <c r="C6" s="399"/>
      <c r="D6" s="399"/>
      <c r="E6" s="399"/>
      <c r="F6" s="399"/>
      <c r="G6" s="138"/>
      <c r="H6" s="138"/>
      <c r="I6" s="115"/>
      <c r="J6" s="399" t="s">
        <v>55</v>
      </c>
      <c r="K6" s="399"/>
      <c r="L6" s="399"/>
      <c r="M6" s="399"/>
      <c r="N6" s="399"/>
      <c r="O6" s="115"/>
      <c r="P6" s="119"/>
    </row>
    <row r="7" spans="1:23" ht="16.5">
      <c r="A7" s="18"/>
      <c r="B7" s="399"/>
      <c r="C7" s="399"/>
      <c r="D7" s="399"/>
      <c r="E7" s="399"/>
      <c r="F7" s="399"/>
      <c r="G7" s="138"/>
      <c r="H7" s="138"/>
      <c r="I7" s="138"/>
      <c r="J7" s="445" t="s">
        <v>157</v>
      </c>
      <c r="K7" s="445"/>
      <c r="L7" s="445"/>
      <c r="M7" s="445"/>
      <c r="N7" s="445"/>
      <c r="O7" s="445"/>
      <c r="P7" s="119"/>
      <c r="R7" s="23"/>
      <c r="S7" s="23"/>
      <c r="T7" s="23"/>
      <c r="U7" s="23"/>
      <c r="V7" s="23"/>
      <c r="W7" s="22"/>
    </row>
    <row r="8" spans="1:23" ht="16.5">
      <c r="A8" s="18"/>
      <c r="B8" s="399"/>
      <c r="C8" s="399"/>
      <c r="D8" s="399"/>
      <c r="E8" s="399"/>
      <c r="F8" s="399"/>
      <c r="G8" s="138"/>
      <c r="H8" s="138"/>
      <c r="I8" s="138"/>
      <c r="J8" s="445" t="s">
        <v>135</v>
      </c>
      <c r="K8" s="445"/>
      <c r="L8" s="445"/>
      <c r="M8" s="445"/>
      <c r="N8" s="445"/>
      <c r="O8" s="445"/>
      <c r="P8" s="119"/>
      <c r="R8" s="56"/>
      <c r="S8" s="56"/>
      <c r="T8" s="56"/>
      <c r="U8" s="56"/>
      <c r="V8" s="56"/>
      <c r="W8" s="56"/>
    </row>
    <row r="9" spans="1:23" ht="16.5">
      <c r="A9" s="18"/>
      <c r="B9" s="399"/>
      <c r="C9" s="399"/>
      <c r="D9" s="399"/>
      <c r="E9" s="399"/>
      <c r="F9" s="399"/>
      <c r="G9" s="138"/>
      <c r="H9" s="446" t="s">
        <v>186</v>
      </c>
      <c r="I9" s="446"/>
      <c r="J9" s="446"/>
      <c r="K9" s="446"/>
      <c r="L9" s="446"/>
      <c r="M9" s="446"/>
      <c r="N9" s="446"/>
      <c r="O9" s="446"/>
      <c r="P9" s="119"/>
      <c r="R9" s="56"/>
      <c r="S9" s="56"/>
      <c r="T9" s="56"/>
      <c r="U9" s="56"/>
      <c r="V9" s="56"/>
      <c r="W9" s="56"/>
    </row>
    <row r="10" spans="1:23" ht="36.75" customHeight="1">
      <c r="A10" s="18"/>
      <c r="B10" s="399" t="s">
        <v>153</v>
      </c>
      <c r="C10" s="399"/>
      <c r="D10" s="399"/>
      <c r="E10" s="399"/>
      <c r="F10" s="399"/>
      <c r="G10" s="138"/>
      <c r="H10" s="138"/>
      <c r="I10" s="138"/>
      <c r="J10" s="437" t="s">
        <v>159</v>
      </c>
      <c r="K10" s="437"/>
      <c r="L10" s="437"/>
      <c r="M10" s="437"/>
      <c r="N10" s="437"/>
      <c r="O10" s="437"/>
      <c r="P10" s="119"/>
      <c r="R10" s="23"/>
      <c r="S10" s="23"/>
      <c r="T10" s="23"/>
      <c r="U10" s="23"/>
      <c r="V10" s="23"/>
      <c r="W10" s="23"/>
    </row>
    <row r="11" spans="1:23" ht="19.5" customHeight="1">
      <c r="A11" s="18"/>
      <c r="B11" s="443" t="s">
        <v>154</v>
      </c>
      <c r="C11" s="443"/>
      <c r="D11" s="443"/>
      <c r="E11" s="443"/>
      <c r="F11" s="443"/>
      <c r="G11" s="138"/>
      <c r="H11" s="138"/>
      <c r="I11" s="138"/>
      <c r="J11" s="442" t="s">
        <v>117</v>
      </c>
      <c r="K11" s="442"/>
      <c r="L11" s="442"/>
      <c r="M11" s="442"/>
      <c r="N11" s="442"/>
      <c r="O11" s="442"/>
      <c r="P11" s="119"/>
      <c r="R11" s="23"/>
      <c r="S11" s="23"/>
      <c r="T11" s="23"/>
      <c r="U11" s="23"/>
      <c r="V11" s="23"/>
      <c r="W11" s="23"/>
    </row>
    <row r="12" spans="1:23" ht="13.5" customHeight="1">
      <c r="A12" s="18"/>
      <c r="B12" s="269"/>
      <c r="C12" s="269"/>
      <c r="D12" s="268" t="s">
        <v>136</v>
      </c>
      <c r="E12" s="269"/>
      <c r="F12" s="269"/>
      <c r="G12" s="138"/>
      <c r="H12" s="138"/>
      <c r="I12" s="138"/>
      <c r="J12" s="268"/>
      <c r="K12" s="268"/>
      <c r="L12" s="268" t="s">
        <v>136</v>
      </c>
      <c r="M12" s="268"/>
      <c r="N12" s="268"/>
      <c r="O12" s="268"/>
      <c r="P12" s="119"/>
      <c r="R12" s="23"/>
      <c r="S12" s="23"/>
      <c r="T12" s="23"/>
      <c r="U12" s="23"/>
      <c r="V12" s="23"/>
      <c r="W12" s="23"/>
    </row>
    <row r="13" spans="1:23" ht="27" customHeight="1">
      <c r="A13" s="18"/>
      <c r="B13" s="399" t="s">
        <v>155</v>
      </c>
      <c r="C13" s="399"/>
      <c r="D13" s="399"/>
      <c r="E13" s="399"/>
      <c r="F13" s="399"/>
      <c r="G13" s="399"/>
      <c r="H13" s="18"/>
      <c r="I13" s="119"/>
      <c r="J13" s="399" t="s">
        <v>143</v>
      </c>
      <c r="K13" s="399"/>
      <c r="L13" s="399"/>
      <c r="M13" s="399"/>
      <c r="N13" s="399"/>
      <c r="O13" s="399"/>
      <c r="P13" s="119"/>
      <c r="R13" s="23"/>
      <c r="S13" s="23"/>
      <c r="T13" s="23"/>
      <c r="U13" s="23"/>
      <c r="V13" s="23"/>
      <c r="W13" s="23"/>
    </row>
    <row r="14" spans="1:23" ht="14.25" customHeight="1">
      <c r="A14" s="18"/>
      <c r="B14" s="400" t="s">
        <v>138</v>
      </c>
      <c r="C14" s="400"/>
      <c r="D14" s="400"/>
      <c r="E14" s="400"/>
      <c r="F14" s="400"/>
      <c r="G14" s="400"/>
      <c r="H14" s="18"/>
      <c r="I14" s="119"/>
      <c r="J14" s="400" t="s">
        <v>138</v>
      </c>
      <c r="K14" s="400"/>
      <c r="L14" s="400"/>
      <c r="M14" s="400"/>
      <c r="N14" s="400"/>
      <c r="O14" s="400"/>
      <c r="P14" s="119"/>
      <c r="R14" s="23"/>
      <c r="S14" s="23"/>
      <c r="T14" s="23"/>
      <c r="U14" s="23"/>
      <c r="V14" s="23"/>
      <c r="W14" s="23"/>
    </row>
    <row r="15" spans="1:23" ht="16.5">
      <c r="A15" s="18"/>
      <c r="B15" s="272" t="s">
        <v>163</v>
      </c>
      <c r="C15" s="272"/>
      <c r="D15" s="272"/>
      <c r="E15" s="272"/>
      <c r="F15" s="272" t="s">
        <v>137</v>
      </c>
      <c r="G15" s="272"/>
      <c r="H15" s="119"/>
      <c r="I15" s="119"/>
      <c r="J15" s="272" t="s">
        <v>163</v>
      </c>
      <c r="K15" s="272"/>
      <c r="L15" s="272"/>
      <c r="M15" s="272"/>
      <c r="N15" s="272" t="s">
        <v>137</v>
      </c>
      <c r="O15" s="272"/>
      <c r="P15" s="119"/>
      <c r="R15" s="23"/>
      <c r="S15" s="23"/>
      <c r="T15" s="23"/>
      <c r="U15" s="23"/>
      <c r="V15" s="23"/>
      <c r="W15" s="23"/>
    </row>
    <row r="16" spans="1:23" ht="16.5">
      <c r="A16" s="18"/>
      <c r="B16" s="119"/>
      <c r="C16" s="119"/>
      <c r="D16" s="119"/>
      <c r="E16" s="119"/>
      <c r="F16" s="119"/>
      <c r="G16" s="119"/>
      <c r="H16" s="119"/>
      <c r="I16" s="119"/>
      <c r="J16" s="272"/>
      <c r="K16" s="272"/>
      <c r="L16" s="272"/>
      <c r="M16" s="272"/>
      <c r="N16" s="272"/>
      <c r="O16" s="272"/>
      <c r="P16" s="119"/>
      <c r="R16" s="23"/>
      <c r="S16" s="23"/>
      <c r="T16" s="23"/>
      <c r="U16" s="23"/>
      <c r="V16" s="23"/>
      <c r="W16" s="23"/>
    </row>
    <row r="17" spans="1:23" ht="16.5">
      <c r="A17" s="18"/>
      <c r="B17" s="119"/>
      <c r="C17" s="119"/>
      <c r="D17" s="119"/>
      <c r="E17" s="119"/>
      <c r="F17" s="119"/>
      <c r="G17" s="119"/>
      <c r="H17" s="119"/>
      <c r="I17" s="119"/>
      <c r="J17" s="272"/>
      <c r="K17" s="272"/>
      <c r="L17" s="272"/>
      <c r="M17" s="272"/>
      <c r="N17" s="272"/>
      <c r="O17" s="272"/>
      <c r="P17" s="119"/>
      <c r="R17" s="23"/>
      <c r="S17" s="23"/>
      <c r="T17" s="23"/>
      <c r="U17" s="23"/>
      <c r="V17" s="23"/>
      <c r="W17" s="23"/>
    </row>
    <row r="18" spans="1:23" ht="17.25">
      <c r="A18" s="20"/>
      <c r="B18" s="119"/>
      <c r="C18" s="119"/>
      <c r="D18" s="119"/>
      <c r="E18" s="119"/>
      <c r="F18" s="119"/>
      <c r="G18" s="119"/>
      <c r="H18" s="119"/>
      <c r="I18" s="119"/>
      <c r="J18" s="441"/>
      <c r="K18" s="441"/>
      <c r="L18" s="441"/>
      <c r="M18" s="441"/>
      <c r="N18" s="441"/>
      <c r="O18" s="441"/>
      <c r="P18" s="119"/>
      <c r="R18" s="15"/>
      <c r="S18" s="58"/>
      <c r="T18" s="58"/>
      <c r="U18" s="58"/>
      <c r="V18" s="58"/>
      <c r="W18" s="58"/>
    </row>
    <row r="19" spans="1:23" ht="17.25">
      <c r="A19" s="139"/>
      <c r="B19" s="139"/>
      <c r="C19" s="139"/>
      <c r="D19" s="139"/>
      <c r="E19" s="139"/>
      <c r="F19" s="139"/>
      <c r="G19" s="139"/>
      <c r="H19" s="139"/>
      <c r="I19" s="59"/>
      <c r="J19" s="139"/>
      <c r="K19" s="139"/>
      <c r="L19" s="139"/>
      <c r="M19" s="139"/>
      <c r="N19" s="139"/>
      <c r="O19" s="119"/>
      <c r="P19" s="119"/>
      <c r="S19" s="57"/>
      <c r="T19" s="57"/>
      <c r="U19" s="57"/>
      <c r="V19" s="26"/>
      <c r="W19" s="26"/>
    </row>
    <row r="20" spans="1:16" ht="19.5" customHeight="1">
      <c r="A20" s="444" t="s">
        <v>84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119"/>
    </row>
    <row r="21" spans="1:16" s="15" customFormat="1" ht="19.5" customHeight="1">
      <c r="A21" s="433" t="s">
        <v>121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102"/>
    </row>
    <row r="22" spans="1:16" s="15" customFormat="1" ht="19.5" customHeight="1">
      <c r="A22" s="433" t="s">
        <v>170</v>
      </c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102"/>
    </row>
    <row r="23" spans="1:16" s="15" customFormat="1" ht="19.5" customHeight="1">
      <c r="A23" s="61"/>
      <c r="B23" s="61"/>
      <c r="C23" s="61"/>
      <c r="D23" s="61"/>
      <c r="E23" s="61"/>
      <c r="F23" s="61"/>
      <c r="G23" s="61"/>
      <c r="H23" s="60"/>
      <c r="I23" s="61"/>
      <c r="J23" s="60"/>
      <c r="K23" s="60"/>
      <c r="L23" s="60"/>
      <c r="M23" s="60"/>
      <c r="N23" s="61"/>
      <c r="O23" s="102"/>
      <c r="P23" s="102"/>
    </row>
    <row r="24" spans="1:16" s="21" customFormat="1" ht="19.5" customHeight="1">
      <c r="A24" s="438"/>
      <c r="B24" s="439"/>
      <c r="C24" s="439"/>
      <c r="D24" s="439"/>
      <c r="E24" s="440"/>
      <c r="F24" s="438" t="s">
        <v>85</v>
      </c>
      <c r="G24" s="439"/>
      <c r="H24" s="439"/>
      <c r="I24" s="439"/>
      <c r="J24" s="440"/>
      <c r="K24" s="438" t="s">
        <v>86</v>
      </c>
      <c r="L24" s="439"/>
      <c r="M24" s="439"/>
      <c r="N24" s="439"/>
      <c r="O24" s="440"/>
      <c r="P24" s="140"/>
    </row>
    <row r="25" spans="1:16" s="21" customFormat="1" ht="19.5" customHeight="1">
      <c r="A25" s="427" t="s">
        <v>102</v>
      </c>
      <c r="B25" s="428"/>
      <c r="C25" s="428"/>
      <c r="D25" s="428"/>
      <c r="E25" s="429"/>
      <c r="F25" s="430">
        <f>40-10</f>
        <v>30</v>
      </c>
      <c r="G25" s="431"/>
      <c r="H25" s="431"/>
      <c r="I25" s="431"/>
      <c r="J25" s="432"/>
      <c r="K25" s="434">
        <f>10960/40*30</f>
        <v>8220</v>
      </c>
      <c r="L25" s="435"/>
      <c r="M25" s="435"/>
      <c r="N25" s="435"/>
      <c r="O25" s="436"/>
      <c r="P25" s="140"/>
    </row>
    <row r="26" spans="1:16" s="21" customFormat="1" ht="19.5" customHeight="1">
      <c r="A26" s="427" t="s">
        <v>106</v>
      </c>
      <c r="B26" s="428"/>
      <c r="C26" s="428"/>
      <c r="D26" s="428"/>
      <c r="E26" s="429"/>
      <c r="F26" s="430">
        <v>10</v>
      </c>
      <c r="G26" s="431"/>
      <c r="H26" s="431"/>
      <c r="I26" s="431"/>
      <c r="J26" s="432"/>
      <c r="K26" s="434">
        <v>2740</v>
      </c>
      <c r="L26" s="435"/>
      <c r="M26" s="435"/>
      <c r="N26" s="435"/>
      <c r="O26" s="436"/>
      <c r="P26" s="140"/>
    </row>
    <row r="27" spans="1:16" s="21" customFormat="1" ht="19.5" customHeight="1">
      <c r="A27" s="427" t="s">
        <v>104</v>
      </c>
      <c r="B27" s="428"/>
      <c r="C27" s="428"/>
      <c r="D27" s="428"/>
      <c r="E27" s="429"/>
      <c r="F27" s="430">
        <v>5</v>
      </c>
      <c r="G27" s="431"/>
      <c r="H27" s="431"/>
      <c r="I27" s="431"/>
      <c r="J27" s="432"/>
      <c r="K27" s="434">
        <v>1370</v>
      </c>
      <c r="L27" s="435"/>
      <c r="M27" s="435"/>
      <c r="N27" s="435"/>
      <c r="O27" s="436"/>
      <c r="P27" s="140"/>
    </row>
    <row r="28" spans="1:16" s="21" customFormat="1" ht="19.5" customHeight="1">
      <c r="A28" s="427" t="s">
        <v>103</v>
      </c>
      <c r="B28" s="428"/>
      <c r="C28" s="428"/>
      <c r="D28" s="428"/>
      <c r="E28" s="429"/>
      <c r="F28" s="430">
        <v>20</v>
      </c>
      <c r="G28" s="431"/>
      <c r="H28" s="431"/>
      <c r="I28" s="431"/>
      <c r="J28" s="432"/>
      <c r="K28" s="434">
        <v>5480</v>
      </c>
      <c r="L28" s="435"/>
      <c r="M28" s="435"/>
      <c r="N28" s="435"/>
      <c r="O28" s="436"/>
      <c r="P28" s="140"/>
    </row>
    <row r="29" spans="1:16" s="21" customFormat="1" ht="19.5" customHeight="1">
      <c r="A29" s="417" t="s">
        <v>87</v>
      </c>
      <c r="B29" s="418"/>
      <c r="C29" s="418"/>
      <c r="D29" s="418"/>
      <c r="E29" s="419"/>
      <c r="F29" s="422">
        <f>SUM(F25:F28)</f>
        <v>65</v>
      </c>
      <c r="G29" s="423"/>
      <c r="H29" s="423"/>
      <c r="I29" s="423"/>
      <c r="J29" s="424"/>
      <c r="K29" s="414">
        <f>SUM(K25:K28)</f>
        <v>17810</v>
      </c>
      <c r="L29" s="415"/>
      <c r="M29" s="415"/>
      <c r="N29" s="415"/>
      <c r="O29" s="416"/>
      <c r="P29" s="140"/>
    </row>
    <row r="30" spans="1:16" s="21" customFormat="1" ht="19.5" customHeight="1">
      <c r="A30" s="62"/>
      <c r="B30" s="63"/>
      <c r="C30" s="64"/>
      <c r="D30" s="64"/>
      <c r="E30" s="65"/>
      <c r="F30" s="64"/>
      <c r="G30" s="64"/>
      <c r="H30" s="64"/>
      <c r="I30" s="66"/>
      <c r="J30" s="67"/>
      <c r="K30" s="67"/>
      <c r="L30" s="67"/>
      <c r="M30" s="67"/>
      <c r="N30" s="64"/>
      <c r="O30" s="140"/>
      <c r="P30" s="140"/>
    </row>
    <row r="31" spans="1:16" s="21" customFormat="1" ht="19.5" customHeight="1">
      <c r="A31" s="62"/>
      <c r="B31" s="63"/>
      <c r="C31" s="64"/>
      <c r="D31" s="64"/>
      <c r="E31" s="65"/>
      <c r="F31" s="64"/>
      <c r="G31" s="64"/>
      <c r="H31" s="64"/>
      <c r="I31" s="66"/>
      <c r="J31" s="67"/>
      <c r="K31" s="67"/>
      <c r="L31" s="67"/>
      <c r="M31" s="67"/>
      <c r="N31" s="64"/>
      <c r="O31" s="140"/>
      <c r="P31" s="140"/>
    </row>
    <row r="32" spans="1:16" s="21" customFormat="1" ht="19.5" customHeight="1">
      <c r="A32" s="62"/>
      <c r="B32" s="421" t="s">
        <v>160</v>
      </c>
      <c r="C32" s="421"/>
      <c r="D32" s="421"/>
      <c r="E32" s="421"/>
      <c r="F32" s="421"/>
      <c r="G32" s="421"/>
      <c r="H32" s="64"/>
      <c r="I32" s="66"/>
      <c r="J32" s="420" t="s">
        <v>144</v>
      </c>
      <c r="K32" s="420"/>
      <c r="L32" s="420"/>
      <c r="M32" s="420"/>
      <c r="N32" s="64"/>
      <c r="O32" s="140"/>
      <c r="P32" s="140"/>
    </row>
    <row r="33" spans="1:16" s="15" customFormat="1" ht="19.5" customHeight="1">
      <c r="A33" s="62"/>
      <c r="B33" s="68"/>
      <c r="C33" s="60"/>
      <c r="D33" s="60"/>
      <c r="E33" s="69"/>
      <c r="F33" s="60"/>
      <c r="G33" s="60"/>
      <c r="H33" s="60"/>
      <c r="I33" s="66"/>
      <c r="J33" s="60"/>
      <c r="K33" s="70"/>
      <c r="L33" s="71"/>
      <c r="M33" s="71"/>
      <c r="N33" s="60"/>
      <c r="O33" s="102"/>
      <c r="P33" s="102"/>
    </row>
    <row r="34" spans="1:16" s="15" customFormat="1" ht="19.5" customHeight="1">
      <c r="A34" s="61"/>
      <c r="B34" s="425" t="s">
        <v>58</v>
      </c>
      <c r="C34" s="425"/>
      <c r="D34" s="61"/>
      <c r="E34" s="61"/>
      <c r="F34" s="426"/>
      <c r="G34" s="426"/>
      <c r="H34" s="72"/>
      <c r="I34" s="73"/>
      <c r="J34" s="420" t="s">
        <v>139</v>
      </c>
      <c r="K34" s="420"/>
      <c r="L34" s="73"/>
      <c r="M34" s="74"/>
      <c r="N34" s="75"/>
      <c r="O34" s="102"/>
      <c r="P34" s="102"/>
    </row>
    <row r="35" spans="1:16" ht="18">
      <c r="A35" s="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ht="18.75" customHeight="1">
      <c r="A36" s="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</row>
    <row r="42" spans="5:7" ht="18">
      <c r="E42" s="425"/>
      <c r="F42" s="425"/>
      <c r="G42" s="425"/>
    </row>
  </sheetData>
  <sheetProtection/>
  <mergeCells count="46">
    <mergeCell ref="B13:G13"/>
    <mergeCell ref="B14:G14"/>
    <mergeCell ref="J6:N6"/>
    <mergeCell ref="B6:F6"/>
    <mergeCell ref="B8:F8"/>
    <mergeCell ref="B9:F9"/>
    <mergeCell ref="J7:O7"/>
    <mergeCell ref="B7:F7"/>
    <mergeCell ref="J8:O8"/>
    <mergeCell ref="H9:O9"/>
    <mergeCell ref="A20:O20"/>
    <mergeCell ref="A21:O21"/>
    <mergeCell ref="F25:J25"/>
    <mergeCell ref="K26:O26"/>
    <mergeCell ref="J10:O10"/>
    <mergeCell ref="A24:E24"/>
    <mergeCell ref="F24:J24"/>
    <mergeCell ref="B10:F10"/>
    <mergeCell ref="J18:O18"/>
    <mergeCell ref="K24:O24"/>
    <mergeCell ref="J11:O11"/>
    <mergeCell ref="J13:O13"/>
    <mergeCell ref="J14:O14"/>
    <mergeCell ref="B11:F11"/>
    <mergeCell ref="A25:E25"/>
    <mergeCell ref="A27:E27"/>
    <mergeCell ref="K25:O25"/>
    <mergeCell ref="A26:E26"/>
    <mergeCell ref="F26:J26"/>
    <mergeCell ref="J32:M32"/>
    <mergeCell ref="B32:G32"/>
    <mergeCell ref="F29:J29"/>
    <mergeCell ref="E42:G42"/>
    <mergeCell ref="B34:C34"/>
    <mergeCell ref="J34:K34"/>
    <mergeCell ref="F34:G34"/>
    <mergeCell ref="K1:L1"/>
    <mergeCell ref="K2:O2"/>
    <mergeCell ref="K29:O29"/>
    <mergeCell ref="A29:E29"/>
    <mergeCell ref="A28:E28"/>
    <mergeCell ref="F27:J27"/>
    <mergeCell ref="F28:J28"/>
    <mergeCell ref="A22:O22"/>
    <mergeCell ref="K27:O27"/>
    <mergeCell ref="K28:O28"/>
  </mergeCells>
  <printOptions/>
  <pageMargins left="0.2362204724409449" right="0.15748031496062992" top="0.15748031496062992" bottom="0.1968503937007874" header="0.15748031496062992" footer="0.15748031496062992"/>
  <pageSetup fitToHeight="1" fitToWidth="1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66"/>
  </sheetPr>
  <dimension ref="A1:Y71"/>
  <sheetViews>
    <sheetView view="pageBreakPreview" zoomScale="80" zoomScaleNormal="75" zoomScaleSheetLayoutView="80" zoomScalePageLayoutView="0" workbookViewId="0" topLeftCell="E1">
      <pane ySplit="11" topLeftCell="BM37" activePane="bottomLeft" state="frozen"/>
      <selection pane="topLeft" activeCell="A1" sqref="A1"/>
      <selection pane="bottomLeft" activeCell="M33" sqref="M33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0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0" customWidth="1"/>
    <col min="19" max="19" width="10.625" style="0" customWidth="1"/>
    <col min="20" max="20" width="11.125" style="0" customWidth="1"/>
    <col min="22" max="22" width="10.125" style="0" customWidth="1"/>
    <col min="24" max="24" width="10.50390625" style="0" customWidth="1"/>
  </cols>
  <sheetData>
    <row r="1" spans="13:18" ht="18" customHeight="1">
      <c r="M1" s="447" t="s">
        <v>191</v>
      </c>
      <c r="N1" s="447"/>
      <c r="O1" s="447"/>
      <c r="P1" s="447"/>
      <c r="Q1" s="447"/>
      <c r="R1" s="447"/>
    </row>
    <row r="2" spans="13:18" ht="33" customHeight="1">
      <c r="M2" s="448" t="s">
        <v>192</v>
      </c>
      <c r="N2" s="448"/>
      <c r="O2" s="448"/>
      <c r="P2" s="448"/>
      <c r="Q2" s="448"/>
      <c r="R2" s="448"/>
    </row>
    <row r="3" spans="13:18" ht="13.5">
      <c r="M3" s="449"/>
      <c r="N3" s="449"/>
      <c r="O3" s="449"/>
      <c r="P3" s="449"/>
      <c r="Q3" s="449"/>
      <c r="R3" s="449"/>
    </row>
    <row r="5" spans="1:19" ht="15" customHeight="1">
      <c r="A5" s="457" t="s">
        <v>0</v>
      </c>
      <c r="B5" s="457" t="s">
        <v>1</v>
      </c>
      <c r="C5" s="457" t="s">
        <v>171</v>
      </c>
      <c r="D5" s="457" t="s">
        <v>97</v>
      </c>
      <c r="E5" s="450" t="s">
        <v>63</v>
      </c>
      <c r="F5" s="451"/>
      <c r="G5" s="451"/>
      <c r="H5" s="451"/>
      <c r="I5" s="451"/>
      <c r="J5" s="452"/>
      <c r="K5" s="455" t="s">
        <v>147</v>
      </c>
      <c r="L5" s="450" t="s">
        <v>64</v>
      </c>
      <c r="M5" s="451"/>
      <c r="N5" s="451"/>
      <c r="O5" s="450" t="s">
        <v>66</v>
      </c>
      <c r="P5" s="451"/>
      <c r="Q5" s="452"/>
      <c r="R5" s="457" t="s">
        <v>2</v>
      </c>
      <c r="S5" s="457" t="s">
        <v>3</v>
      </c>
    </row>
    <row r="6" spans="1:19" ht="79.5" customHeight="1">
      <c r="A6" s="458"/>
      <c r="B6" s="458"/>
      <c r="C6" s="458"/>
      <c r="D6" s="458"/>
      <c r="E6" s="37" t="s">
        <v>172</v>
      </c>
      <c r="F6" s="37" t="s">
        <v>175</v>
      </c>
      <c r="G6" s="37" t="s">
        <v>116</v>
      </c>
      <c r="H6" s="37" t="s">
        <v>148</v>
      </c>
      <c r="I6" s="37" t="s">
        <v>176</v>
      </c>
      <c r="J6" s="37" t="s">
        <v>173</v>
      </c>
      <c r="K6" s="456"/>
      <c r="L6" s="37" t="s">
        <v>177</v>
      </c>
      <c r="M6" s="37" t="s">
        <v>65</v>
      </c>
      <c r="N6" s="37" t="s">
        <v>61</v>
      </c>
      <c r="O6" s="37" t="s">
        <v>174</v>
      </c>
      <c r="P6" s="37" t="s">
        <v>100</v>
      </c>
      <c r="Q6" s="382" t="s">
        <v>185</v>
      </c>
      <c r="R6" s="458"/>
      <c r="S6" s="458"/>
    </row>
    <row r="7" spans="1:19" ht="12" customHeight="1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45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</row>
    <row r="8" spans="1:19" ht="21.75" customHeight="1">
      <c r="A8" s="460" t="s">
        <v>178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</row>
    <row r="9" spans="1:19" ht="15" customHeight="1">
      <c r="A9" s="461" t="s">
        <v>4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</row>
    <row r="10" spans="1:19" ht="19.5" customHeight="1">
      <c r="A10" s="454" t="s">
        <v>179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</row>
    <row r="11" spans="1:19" ht="19.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7"/>
      <c r="O11" s="28"/>
      <c r="P11" s="28"/>
      <c r="Q11" s="28"/>
      <c r="R11" s="28"/>
      <c r="S11" s="28"/>
    </row>
    <row r="12" spans="1:22" s="97" customFormat="1" ht="19.5" customHeight="1">
      <c r="A12" s="160">
        <f>(A11+1)</f>
        <v>1</v>
      </c>
      <c r="B12" s="158" t="s">
        <v>142</v>
      </c>
      <c r="C12" s="164">
        <v>1</v>
      </c>
      <c r="D12" s="148">
        <f>18000</f>
        <v>18000</v>
      </c>
      <c r="E12" s="148"/>
      <c r="F12" s="148"/>
      <c r="G12" s="165"/>
      <c r="H12" s="148"/>
      <c r="I12" s="148"/>
      <c r="J12" s="148"/>
      <c r="K12" s="148">
        <f aca="true" t="shared" si="0" ref="K12:K17">SUM(D12:J12)</f>
        <v>18000</v>
      </c>
      <c r="L12" s="148"/>
      <c r="M12" s="148"/>
      <c r="N12" s="165">
        <f>K12*20%</f>
        <v>3600</v>
      </c>
      <c r="O12" s="148"/>
      <c r="P12" s="148"/>
      <c r="Q12" s="148"/>
      <c r="R12" s="148">
        <f aca="true" t="shared" si="1" ref="R12:R17">SUM(K12:P12)*C12</f>
        <v>21600</v>
      </c>
      <c r="S12" s="166">
        <v>16</v>
      </c>
      <c r="T12" s="96"/>
      <c r="U12" s="96"/>
      <c r="V12" s="96"/>
    </row>
    <row r="13" spans="1:22" s="97" customFormat="1" ht="19.5" customHeight="1">
      <c r="A13" s="160">
        <v>2</v>
      </c>
      <c r="B13" s="158" t="s">
        <v>158</v>
      </c>
      <c r="C13" s="164">
        <v>1</v>
      </c>
      <c r="D13" s="168">
        <f>18000</f>
        <v>18000</v>
      </c>
      <c r="E13" s="148"/>
      <c r="F13" s="148">
        <f>3195*44.9%</f>
        <v>1434.555</v>
      </c>
      <c r="G13" s="165"/>
      <c r="H13" s="148"/>
      <c r="I13" s="148"/>
      <c r="J13" s="148"/>
      <c r="K13" s="148">
        <f t="shared" si="0"/>
        <v>19434.555</v>
      </c>
      <c r="L13" s="148"/>
      <c r="M13" s="148"/>
      <c r="N13" s="165">
        <f>(D13+F13)*30%</f>
        <v>5830.3665</v>
      </c>
      <c r="O13" s="148"/>
      <c r="P13" s="148"/>
      <c r="Q13" s="148"/>
      <c r="R13" s="148">
        <f t="shared" si="1"/>
        <v>25264.9215</v>
      </c>
      <c r="S13" s="166">
        <v>16</v>
      </c>
      <c r="T13" s="96"/>
      <c r="U13" s="96"/>
      <c r="V13" s="96"/>
    </row>
    <row r="14" spans="1:24" s="97" customFormat="1" ht="48" customHeight="1">
      <c r="A14" s="160">
        <v>3</v>
      </c>
      <c r="B14" s="158" t="s">
        <v>151</v>
      </c>
      <c r="C14" s="164">
        <v>1</v>
      </c>
      <c r="D14" s="168">
        <f>7100*2.7</f>
        <v>19170</v>
      </c>
      <c r="E14" s="148"/>
      <c r="F14" s="148"/>
      <c r="G14" s="165"/>
      <c r="H14" s="148"/>
      <c r="I14" s="148"/>
      <c r="J14" s="148"/>
      <c r="K14" s="148">
        <f t="shared" si="0"/>
        <v>19170</v>
      </c>
      <c r="L14" s="148"/>
      <c r="M14" s="148"/>
      <c r="N14" s="165">
        <f>K14*30%</f>
        <v>5751</v>
      </c>
      <c r="O14" s="148"/>
      <c r="P14" s="148"/>
      <c r="Q14" s="148"/>
      <c r="R14" s="148">
        <f t="shared" si="1"/>
        <v>24921</v>
      </c>
      <c r="S14" s="166">
        <v>16</v>
      </c>
      <c r="T14" s="96"/>
      <c r="U14" s="96"/>
      <c r="V14" s="96"/>
      <c r="X14" s="278"/>
    </row>
    <row r="15" spans="1:24" s="97" customFormat="1" ht="19.5" customHeight="1">
      <c r="A15" s="161">
        <v>4</v>
      </c>
      <c r="B15" s="159" t="s">
        <v>5</v>
      </c>
      <c r="C15" s="167">
        <v>1</v>
      </c>
      <c r="D15" s="168">
        <f>7100*2.7</f>
        <v>19170</v>
      </c>
      <c r="E15" s="168"/>
      <c r="F15" s="168"/>
      <c r="G15" s="169"/>
      <c r="H15" s="168"/>
      <c r="I15" s="168"/>
      <c r="J15" s="168"/>
      <c r="K15" s="148">
        <f t="shared" si="0"/>
        <v>19170</v>
      </c>
      <c r="L15" s="148"/>
      <c r="M15" s="170"/>
      <c r="N15" s="169"/>
      <c r="O15" s="168"/>
      <c r="P15" s="168"/>
      <c r="Q15" s="168"/>
      <c r="R15" s="148">
        <f t="shared" si="1"/>
        <v>19170</v>
      </c>
      <c r="S15" s="171">
        <v>11</v>
      </c>
      <c r="T15" s="96"/>
      <c r="U15" s="96"/>
      <c r="V15" s="96"/>
      <c r="X15" s="278"/>
    </row>
    <row r="16" spans="1:22" s="97" customFormat="1" ht="19.5" customHeight="1">
      <c r="A16" s="162">
        <v>5</v>
      </c>
      <c r="B16" s="158" t="s">
        <v>122</v>
      </c>
      <c r="C16" s="164">
        <v>1</v>
      </c>
      <c r="D16" s="148">
        <f>7100*1.8</f>
        <v>12780</v>
      </c>
      <c r="E16" s="148"/>
      <c r="F16" s="148"/>
      <c r="G16" s="165"/>
      <c r="H16" s="148"/>
      <c r="I16" s="148"/>
      <c r="J16" s="148"/>
      <c r="K16" s="172">
        <f t="shared" si="0"/>
        <v>12780</v>
      </c>
      <c r="L16" s="148"/>
      <c r="M16" s="148"/>
      <c r="N16" s="165"/>
      <c r="O16" s="148"/>
      <c r="P16" s="148"/>
      <c r="Q16" s="148">
        <f>13500-(D16)*C16</f>
        <v>720</v>
      </c>
      <c r="R16" s="148">
        <f>SUM(K16:P16)*C16+Q16</f>
        <v>13500</v>
      </c>
      <c r="S16" s="173">
        <v>11</v>
      </c>
      <c r="T16" s="96"/>
      <c r="U16" s="96"/>
      <c r="V16" s="96"/>
    </row>
    <row r="17" spans="1:22" s="97" customFormat="1" ht="19.5" customHeight="1">
      <c r="A17" s="160">
        <v>6</v>
      </c>
      <c r="B17" s="158" t="s">
        <v>123</v>
      </c>
      <c r="C17" s="164">
        <v>1</v>
      </c>
      <c r="D17" s="148">
        <f>7100*1.7</f>
        <v>12070</v>
      </c>
      <c r="E17" s="148"/>
      <c r="F17" s="148"/>
      <c r="G17" s="148"/>
      <c r="H17" s="148"/>
      <c r="I17" s="148"/>
      <c r="J17" s="148"/>
      <c r="K17" s="148">
        <f t="shared" si="0"/>
        <v>12070</v>
      </c>
      <c r="L17" s="148"/>
      <c r="M17" s="148"/>
      <c r="N17" s="148"/>
      <c r="O17" s="148"/>
      <c r="P17" s="148"/>
      <c r="Q17" s="148"/>
      <c r="R17" s="148">
        <f t="shared" si="1"/>
        <v>12070</v>
      </c>
      <c r="S17" s="166">
        <v>7</v>
      </c>
      <c r="T17" s="96"/>
      <c r="U17" s="96"/>
      <c r="V17" s="96"/>
    </row>
    <row r="18" spans="1:22" s="97" customFormat="1" ht="19.5" customHeight="1">
      <c r="A18" s="160"/>
      <c r="B18" s="158"/>
      <c r="C18" s="164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66"/>
      <c r="T18" s="96"/>
      <c r="U18" s="96"/>
      <c r="V18" s="96"/>
    </row>
    <row r="19" spans="1:22" ht="19.5" customHeight="1">
      <c r="A19" s="1"/>
      <c r="B19" s="174" t="s">
        <v>59</v>
      </c>
      <c r="C19" s="175">
        <f>SUM(C12:C17)</f>
        <v>6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>
        <f>SUM(R12:R17)</f>
        <v>116525.9215</v>
      </c>
      <c r="S19" s="94"/>
      <c r="T19" s="42"/>
      <c r="U19" s="42"/>
      <c r="V19" s="42"/>
    </row>
    <row r="20" spans="1:22" ht="19.5" customHeight="1">
      <c r="A20" s="82"/>
      <c r="B20" s="83" t="s">
        <v>182</v>
      </c>
      <c r="C20" s="177">
        <f>C14+C13</f>
        <v>2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>
        <f>R14+R13</f>
        <v>50185.9215</v>
      </c>
      <c r="S20" s="95"/>
      <c r="T20" s="42"/>
      <c r="U20" s="42"/>
      <c r="V20" s="42"/>
    </row>
    <row r="21" spans="1:22" ht="19.5" customHeight="1">
      <c r="A21" s="84" t="s">
        <v>34</v>
      </c>
      <c r="B21" s="85" t="s">
        <v>132</v>
      </c>
      <c r="C21" s="177">
        <f>C16</f>
        <v>1</v>
      </c>
      <c r="D21" s="179"/>
      <c r="E21" s="179"/>
      <c r="F21" s="179"/>
      <c r="G21" s="179"/>
      <c r="H21" s="179"/>
      <c r="I21" s="179"/>
      <c r="J21" s="179"/>
      <c r="K21" s="179"/>
      <c r="L21" s="180"/>
      <c r="M21" s="179"/>
      <c r="N21" s="179"/>
      <c r="O21" s="179"/>
      <c r="P21" s="179"/>
      <c r="Q21" s="179"/>
      <c r="R21" s="178">
        <f>R16</f>
        <v>13500</v>
      </c>
      <c r="S21" s="95"/>
      <c r="T21" s="42"/>
      <c r="U21" s="42"/>
      <c r="V21" s="42"/>
    </row>
    <row r="22" spans="1:22" ht="19.5" customHeight="1">
      <c r="A22" s="47"/>
      <c r="B22" s="85" t="s">
        <v>14</v>
      </c>
      <c r="C22" s="181">
        <f>C12+C15+C17</f>
        <v>3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3">
        <f>R12+R15+R17</f>
        <v>52840</v>
      </c>
      <c r="S22" s="95"/>
      <c r="T22" s="42"/>
      <c r="U22" s="42"/>
      <c r="V22" s="42"/>
    </row>
    <row r="23" spans="1:22" ht="19.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42"/>
      <c r="U23" s="42"/>
      <c r="V23" s="42"/>
    </row>
    <row r="24" spans="1:22" ht="19.5" customHeight="1">
      <c r="A24" s="454" t="s">
        <v>180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2"/>
      <c r="U24" s="42"/>
      <c r="V24" s="42"/>
    </row>
    <row r="25" spans="1:22" ht="19.5" customHeight="1">
      <c r="A25" s="459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2"/>
      <c r="U25" s="42"/>
      <c r="V25" s="42"/>
    </row>
    <row r="26" spans="1:22" ht="15" customHeight="1">
      <c r="A26" s="6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>
        <v>12</v>
      </c>
      <c r="M26" s="5">
        <v>13</v>
      </c>
      <c r="N26" s="5">
        <v>14</v>
      </c>
      <c r="O26" s="5">
        <v>15</v>
      </c>
      <c r="P26" s="5">
        <v>16</v>
      </c>
      <c r="Q26" s="5"/>
      <c r="R26" s="5">
        <v>17</v>
      </c>
      <c r="S26" s="5">
        <v>18</v>
      </c>
      <c r="T26" s="42"/>
      <c r="U26" s="42"/>
      <c r="V26" s="42"/>
    </row>
    <row r="27" spans="1:22" ht="31.5" customHeight="1">
      <c r="A27" s="144">
        <v>1</v>
      </c>
      <c r="B27" s="145" t="s">
        <v>105</v>
      </c>
      <c r="C27" s="123">
        <v>0.5</v>
      </c>
      <c r="D27" s="172">
        <f>7100*1.1</f>
        <v>7810.000000000001</v>
      </c>
      <c r="E27" s="147"/>
      <c r="F27" s="147"/>
      <c r="G27" s="147"/>
      <c r="H27" s="147"/>
      <c r="I27" s="147"/>
      <c r="J27" s="147"/>
      <c r="K27" s="147">
        <f aca="true" t="shared" si="2" ref="K27:K42">SUM(D27:J27)</f>
        <v>7810.000000000001</v>
      </c>
      <c r="L27" s="147"/>
      <c r="M27" s="147"/>
      <c r="N27" s="147"/>
      <c r="O27" s="147"/>
      <c r="P27" s="147"/>
      <c r="Q27" s="147"/>
      <c r="R27" s="149">
        <f>SUM(K27:P27)*C27</f>
        <v>3905.0000000000005</v>
      </c>
      <c r="S27" s="150">
        <v>8</v>
      </c>
      <c r="T27" s="42"/>
      <c r="U27" s="42"/>
      <c r="V27" s="42"/>
    </row>
    <row r="28" spans="1:22" ht="31.5" customHeight="1">
      <c r="A28" s="144">
        <v>2</v>
      </c>
      <c r="B28" s="145" t="s">
        <v>150</v>
      </c>
      <c r="C28" s="123">
        <v>0.5</v>
      </c>
      <c r="D28" s="172">
        <f>7100*1.1</f>
        <v>7810.000000000001</v>
      </c>
      <c r="E28" s="147"/>
      <c r="F28" s="147"/>
      <c r="G28" s="147"/>
      <c r="H28" s="147"/>
      <c r="I28" s="147"/>
      <c r="J28" s="147"/>
      <c r="K28" s="147">
        <f t="shared" si="2"/>
        <v>7810.000000000001</v>
      </c>
      <c r="L28" s="147"/>
      <c r="M28" s="147"/>
      <c r="N28" s="147"/>
      <c r="O28" s="147"/>
      <c r="P28" s="147"/>
      <c r="Q28" s="147"/>
      <c r="R28" s="149">
        <f>SUM(K28:P28)*C28</f>
        <v>3905.0000000000005</v>
      </c>
      <c r="S28" s="150">
        <v>8</v>
      </c>
      <c r="T28" s="42"/>
      <c r="U28" s="42"/>
      <c r="V28" s="42"/>
    </row>
    <row r="29" spans="1:22" ht="19.5" customHeight="1">
      <c r="A29" s="144">
        <v>3</v>
      </c>
      <c r="B29" s="145" t="s">
        <v>145</v>
      </c>
      <c r="C29" s="123">
        <v>1</v>
      </c>
      <c r="D29" s="147">
        <f>7100*1.6</f>
        <v>11360</v>
      </c>
      <c r="E29" s="147"/>
      <c r="F29" s="147"/>
      <c r="G29" s="147"/>
      <c r="H29" s="147"/>
      <c r="I29" s="147"/>
      <c r="J29" s="147"/>
      <c r="K29" s="147">
        <f t="shared" si="2"/>
        <v>11360</v>
      </c>
      <c r="L29" s="147"/>
      <c r="M29" s="147"/>
      <c r="N29" s="147"/>
      <c r="O29" s="147"/>
      <c r="P29" s="147"/>
      <c r="Q29" s="147"/>
      <c r="R29" s="149">
        <f aca="true" t="shared" si="3" ref="R29:R40">SUM(K29:P29)*C29</f>
        <v>11360</v>
      </c>
      <c r="S29" s="150">
        <v>6</v>
      </c>
      <c r="T29" s="42"/>
      <c r="U29" s="42"/>
      <c r="V29" s="42"/>
    </row>
    <row r="30" spans="1:22" ht="31.5" customHeight="1">
      <c r="A30" s="144">
        <v>4</v>
      </c>
      <c r="B30" s="158" t="s">
        <v>125</v>
      </c>
      <c r="C30" s="123">
        <v>0.5</v>
      </c>
      <c r="D30" s="147">
        <f>7100*1.6</f>
        <v>11360</v>
      </c>
      <c r="E30" s="147"/>
      <c r="F30" s="147"/>
      <c r="G30" s="147"/>
      <c r="H30" s="147"/>
      <c r="I30" s="147"/>
      <c r="J30" s="147"/>
      <c r="K30" s="147">
        <f t="shared" si="2"/>
        <v>11360</v>
      </c>
      <c r="L30" s="147"/>
      <c r="M30" s="147"/>
      <c r="N30" s="147"/>
      <c r="O30" s="147"/>
      <c r="P30" s="147"/>
      <c r="Q30" s="147"/>
      <c r="R30" s="149">
        <f t="shared" si="3"/>
        <v>5680</v>
      </c>
      <c r="S30" s="150">
        <v>7</v>
      </c>
      <c r="T30" s="42"/>
      <c r="U30" s="42"/>
      <c r="V30" s="42"/>
    </row>
    <row r="31" spans="1:22" ht="19.5" customHeight="1">
      <c r="A31" s="144">
        <v>5</v>
      </c>
      <c r="B31" s="145" t="s">
        <v>62</v>
      </c>
      <c r="C31" s="123">
        <v>1</v>
      </c>
      <c r="D31" s="147">
        <f>7100*1.4</f>
        <v>9940</v>
      </c>
      <c r="E31" s="147"/>
      <c r="F31" s="147"/>
      <c r="G31" s="147"/>
      <c r="H31" s="147"/>
      <c r="I31" s="147"/>
      <c r="J31" s="147"/>
      <c r="K31" s="147">
        <f t="shared" si="2"/>
        <v>9940</v>
      </c>
      <c r="L31" s="147"/>
      <c r="M31" s="147"/>
      <c r="N31" s="147"/>
      <c r="O31" s="147"/>
      <c r="P31" s="147"/>
      <c r="Q31" s="147"/>
      <c r="R31" s="149">
        <f t="shared" si="3"/>
        <v>9940</v>
      </c>
      <c r="S31" s="150">
        <v>4</v>
      </c>
      <c r="T31" s="42"/>
      <c r="U31" s="42"/>
      <c r="V31" s="42"/>
    </row>
    <row r="32" spans="1:22" ht="31.5" customHeight="1">
      <c r="A32" s="144">
        <v>6</v>
      </c>
      <c r="B32" s="145" t="s">
        <v>70</v>
      </c>
      <c r="C32" s="123">
        <v>0.5</v>
      </c>
      <c r="D32" s="147">
        <f>7100*1</f>
        <v>7100</v>
      </c>
      <c r="E32" s="147"/>
      <c r="F32" s="147"/>
      <c r="G32" s="147"/>
      <c r="H32" s="147"/>
      <c r="I32" s="147"/>
      <c r="J32" s="147"/>
      <c r="K32" s="147">
        <f t="shared" si="2"/>
        <v>7100</v>
      </c>
      <c r="L32" s="147"/>
      <c r="M32" s="147"/>
      <c r="N32" s="147"/>
      <c r="O32" s="147"/>
      <c r="P32" s="147">
        <f>3483*10%</f>
        <v>348.3</v>
      </c>
      <c r="Q32" s="147"/>
      <c r="R32" s="149">
        <f>SUM(K32:P32)*C32</f>
        <v>3724.15</v>
      </c>
      <c r="S32" s="150">
        <v>1</v>
      </c>
      <c r="T32" s="42"/>
      <c r="U32" s="42"/>
      <c r="V32" s="42"/>
    </row>
    <row r="33" spans="1:22" ht="63" customHeight="1">
      <c r="A33" s="144">
        <v>7</v>
      </c>
      <c r="B33" s="145" t="s">
        <v>124</v>
      </c>
      <c r="C33" s="123">
        <v>1</v>
      </c>
      <c r="D33" s="147">
        <f>7100*1</f>
        <v>7100</v>
      </c>
      <c r="E33" s="147"/>
      <c r="F33" s="147"/>
      <c r="G33" s="147"/>
      <c r="H33" s="147"/>
      <c r="I33" s="147"/>
      <c r="J33" s="147"/>
      <c r="K33" s="147">
        <f t="shared" si="2"/>
        <v>7100</v>
      </c>
      <c r="L33" s="147"/>
      <c r="M33" s="147"/>
      <c r="N33" s="147"/>
      <c r="O33" s="147">
        <f>4345*12%</f>
        <v>521.4</v>
      </c>
      <c r="P33" s="147"/>
      <c r="Q33" s="147"/>
      <c r="R33" s="149">
        <f>SUM(K33:P33)*C33</f>
        <v>7621.4</v>
      </c>
      <c r="S33" s="150">
        <v>5</v>
      </c>
      <c r="T33" s="42"/>
      <c r="U33" s="42"/>
      <c r="V33" s="42"/>
    </row>
    <row r="34" spans="1:22" ht="19.5" customHeight="1">
      <c r="A34" s="144">
        <v>8</v>
      </c>
      <c r="B34" s="145" t="s">
        <v>6</v>
      </c>
      <c r="C34" s="123">
        <v>1</v>
      </c>
      <c r="D34" s="146">
        <f>7100*2</f>
        <v>14200</v>
      </c>
      <c r="E34" s="147"/>
      <c r="F34" s="147"/>
      <c r="G34" s="147"/>
      <c r="H34" s="147"/>
      <c r="I34" s="147"/>
      <c r="J34" s="147"/>
      <c r="K34" s="148">
        <f t="shared" si="2"/>
        <v>14200</v>
      </c>
      <c r="L34" s="147"/>
      <c r="M34" s="147"/>
      <c r="N34" s="147"/>
      <c r="O34" s="147"/>
      <c r="P34" s="147"/>
      <c r="Q34" s="147"/>
      <c r="R34" s="149">
        <f t="shared" si="3"/>
        <v>14200</v>
      </c>
      <c r="S34" s="150">
        <v>10</v>
      </c>
      <c r="T34" s="42"/>
      <c r="U34" s="42"/>
      <c r="V34" s="42"/>
    </row>
    <row r="35" spans="1:22" ht="31.5" customHeight="1">
      <c r="A35" s="144">
        <v>9</v>
      </c>
      <c r="B35" s="145" t="s">
        <v>67</v>
      </c>
      <c r="C35" s="123">
        <v>0.5</v>
      </c>
      <c r="D35" s="146">
        <f>7100*1.4</f>
        <v>9940</v>
      </c>
      <c r="E35" s="147"/>
      <c r="F35" s="147"/>
      <c r="G35" s="147"/>
      <c r="H35" s="147"/>
      <c r="I35" s="147"/>
      <c r="J35" s="147"/>
      <c r="K35" s="148">
        <f t="shared" si="2"/>
        <v>9940</v>
      </c>
      <c r="L35" s="147"/>
      <c r="M35" s="147"/>
      <c r="N35" s="147"/>
      <c r="O35" s="147"/>
      <c r="P35" s="147"/>
      <c r="Q35" s="147"/>
      <c r="R35" s="149">
        <f t="shared" si="3"/>
        <v>4970</v>
      </c>
      <c r="S35" s="150">
        <v>7</v>
      </c>
      <c r="T35" s="42"/>
      <c r="U35" s="42"/>
      <c r="V35" s="42"/>
    </row>
    <row r="36" spans="1:22" ht="31.5" customHeight="1">
      <c r="A36" s="144">
        <v>10</v>
      </c>
      <c r="B36" s="145" t="s">
        <v>133</v>
      </c>
      <c r="C36" s="123">
        <v>0.5</v>
      </c>
      <c r="D36" s="146">
        <f>7100*1.4</f>
        <v>9940</v>
      </c>
      <c r="E36" s="147"/>
      <c r="F36" s="147"/>
      <c r="G36" s="147"/>
      <c r="H36" s="147"/>
      <c r="I36" s="147"/>
      <c r="J36" s="147"/>
      <c r="K36" s="148">
        <f t="shared" si="2"/>
        <v>9940</v>
      </c>
      <c r="L36" s="147"/>
      <c r="M36" s="147"/>
      <c r="N36" s="147"/>
      <c r="O36" s="147"/>
      <c r="P36" s="147"/>
      <c r="Q36" s="147"/>
      <c r="R36" s="149">
        <f t="shared" si="3"/>
        <v>4970</v>
      </c>
      <c r="S36" s="150">
        <v>7</v>
      </c>
      <c r="T36" s="42"/>
      <c r="U36" s="42"/>
      <c r="V36" s="42"/>
    </row>
    <row r="37" spans="1:22" ht="31.5" customHeight="1">
      <c r="A37" s="144">
        <v>11</v>
      </c>
      <c r="B37" s="111" t="s">
        <v>75</v>
      </c>
      <c r="C37" s="123">
        <v>1</v>
      </c>
      <c r="D37" s="146">
        <f>7100*2</f>
        <v>14200</v>
      </c>
      <c r="E37" s="147"/>
      <c r="F37" s="147"/>
      <c r="G37" s="147"/>
      <c r="H37" s="147"/>
      <c r="I37" s="147"/>
      <c r="J37" s="147"/>
      <c r="K37" s="148">
        <f t="shared" si="2"/>
        <v>14200</v>
      </c>
      <c r="L37" s="147"/>
      <c r="M37" s="147"/>
      <c r="N37" s="147"/>
      <c r="O37" s="147"/>
      <c r="P37" s="147"/>
      <c r="Q37" s="147"/>
      <c r="R37" s="149">
        <f t="shared" si="3"/>
        <v>14200</v>
      </c>
      <c r="S37" s="150">
        <v>9</v>
      </c>
      <c r="T37" s="42"/>
      <c r="U37" s="42"/>
      <c r="V37" s="42"/>
    </row>
    <row r="38" spans="1:22" s="271" customFormat="1" ht="49.5" customHeight="1">
      <c r="A38" s="279">
        <v>12</v>
      </c>
      <c r="B38" s="214" t="s">
        <v>76</v>
      </c>
      <c r="C38" s="124">
        <v>1</v>
      </c>
      <c r="D38" s="216">
        <f>7100*1.4</f>
        <v>9940</v>
      </c>
      <c r="E38" s="149"/>
      <c r="F38" s="149"/>
      <c r="G38" s="149"/>
      <c r="H38" s="149"/>
      <c r="I38" s="149"/>
      <c r="J38" s="149"/>
      <c r="K38" s="148">
        <f t="shared" si="2"/>
        <v>9940</v>
      </c>
      <c r="L38" s="149"/>
      <c r="M38" s="149"/>
      <c r="N38" s="149"/>
      <c r="O38" s="149"/>
      <c r="P38" s="149"/>
      <c r="Q38" s="149"/>
      <c r="R38" s="149">
        <f t="shared" si="3"/>
        <v>9940</v>
      </c>
      <c r="S38" s="215">
        <v>7</v>
      </c>
      <c r="T38" s="270"/>
      <c r="U38" s="270"/>
      <c r="V38" s="270"/>
    </row>
    <row r="39" spans="1:22" ht="19.5" customHeight="1">
      <c r="A39" s="279">
        <v>13</v>
      </c>
      <c r="B39" s="214" t="s">
        <v>152</v>
      </c>
      <c r="C39" s="124">
        <v>1</v>
      </c>
      <c r="D39" s="216">
        <f>7100*1.4</f>
        <v>9940</v>
      </c>
      <c r="E39" s="149"/>
      <c r="F39" s="149"/>
      <c r="G39" s="149"/>
      <c r="H39" s="149"/>
      <c r="I39" s="149"/>
      <c r="J39" s="149"/>
      <c r="K39" s="148">
        <f t="shared" si="2"/>
        <v>9940</v>
      </c>
      <c r="L39" s="149"/>
      <c r="M39" s="149"/>
      <c r="N39" s="149"/>
      <c r="O39" s="149"/>
      <c r="P39" s="149"/>
      <c r="Q39" s="149"/>
      <c r="R39" s="149">
        <f t="shared" si="3"/>
        <v>9940</v>
      </c>
      <c r="S39" s="215">
        <v>7</v>
      </c>
      <c r="T39" s="42"/>
      <c r="U39" s="42"/>
      <c r="V39" s="42"/>
    </row>
    <row r="40" spans="1:22" ht="19.5" customHeight="1">
      <c r="A40" s="279">
        <v>14</v>
      </c>
      <c r="B40" s="214" t="s">
        <v>146</v>
      </c>
      <c r="C40" s="124">
        <f>1</f>
        <v>1</v>
      </c>
      <c r="D40" s="216">
        <f>7100*1</f>
        <v>7100</v>
      </c>
      <c r="E40" s="149"/>
      <c r="F40" s="149"/>
      <c r="G40" s="149"/>
      <c r="H40" s="149"/>
      <c r="I40" s="149"/>
      <c r="J40" s="149"/>
      <c r="K40" s="148">
        <f t="shared" si="2"/>
        <v>7100</v>
      </c>
      <c r="L40" s="149"/>
      <c r="M40" s="149"/>
      <c r="N40" s="149"/>
      <c r="O40" s="149"/>
      <c r="P40" s="149"/>
      <c r="Q40" s="149"/>
      <c r="R40" s="149">
        <f t="shared" si="3"/>
        <v>7100</v>
      </c>
      <c r="S40" s="215">
        <v>10</v>
      </c>
      <c r="T40" s="42"/>
      <c r="U40" s="42"/>
      <c r="V40" s="42"/>
    </row>
    <row r="41" spans="1:22" ht="19.5" customHeight="1">
      <c r="A41" s="279">
        <v>15</v>
      </c>
      <c r="B41" s="273" t="s">
        <v>156</v>
      </c>
      <c r="C41" s="124">
        <v>0.5</v>
      </c>
      <c r="D41" s="149">
        <f>7100*1</f>
        <v>7100</v>
      </c>
      <c r="E41" s="280"/>
      <c r="F41" s="280"/>
      <c r="G41" s="280"/>
      <c r="H41" s="149"/>
      <c r="I41" s="280"/>
      <c r="J41" s="280"/>
      <c r="K41" s="149">
        <f t="shared" si="2"/>
        <v>7100</v>
      </c>
      <c r="L41" s="280"/>
      <c r="M41" s="280"/>
      <c r="N41" s="280"/>
      <c r="O41" s="280"/>
      <c r="P41" s="280"/>
      <c r="Q41" s="280"/>
      <c r="R41" s="149">
        <f>SUM(K41:P41)*C41</f>
        <v>3550</v>
      </c>
      <c r="S41" s="215">
        <v>7</v>
      </c>
      <c r="T41" s="42"/>
      <c r="U41" s="42"/>
      <c r="V41" s="42"/>
    </row>
    <row r="42" spans="1:22" ht="19.5" customHeight="1">
      <c r="A42" s="144">
        <v>16</v>
      </c>
      <c r="B42" s="163" t="s">
        <v>69</v>
      </c>
      <c r="C42" s="123">
        <v>0.5</v>
      </c>
      <c r="D42" s="147">
        <f>7100*1</f>
        <v>7100</v>
      </c>
      <c r="E42" s="184"/>
      <c r="F42" s="184"/>
      <c r="G42" s="184"/>
      <c r="H42" s="185"/>
      <c r="I42" s="184"/>
      <c r="J42" s="184"/>
      <c r="K42" s="147">
        <f t="shared" si="2"/>
        <v>7100</v>
      </c>
      <c r="L42" s="184"/>
      <c r="M42" s="184"/>
      <c r="N42" s="184"/>
      <c r="O42" s="184"/>
      <c r="P42" s="184"/>
      <c r="Q42" s="184"/>
      <c r="R42" s="149">
        <f>SUM(K42:P42)*C42</f>
        <v>3550</v>
      </c>
      <c r="S42" s="150">
        <v>5</v>
      </c>
      <c r="T42" s="42"/>
      <c r="U42" s="42"/>
      <c r="V42" s="42"/>
    </row>
    <row r="43" spans="1:22" ht="19.5" customHeight="1">
      <c r="A43" s="144"/>
      <c r="B43" s="163"/>
      <c r="C43" s="123"/>
      <c r="D43" s="147"/>
      <c r="E43" s="184"/>
      <c r="F43" s="184"/>
      <c r="G43" s="184"/>
      <c r="H43" s="185"/>
      <c r="I43" s="184"/>
      <c r="J43" s="184"/>
      <c r="K43" s="147"/>
      <c r="L43" s="184"/>
      <c r="M43" s="184"/>
      <c r="N43" s="184"/>
      <c r="O43" s="184"/>
      <c r="P43" s="184"/>
      <c r="Q43" s="184"/>
      <c r="R43" s="149"/>
      <c r="S43" s="150"/>
      <c r="T43" s="42"/>
      <c r="U43" s="42"/>
      <c r="V43" s="42"/>
    </row>
    <row r="44" spans="1:22" ht="19.5" customHeight="1">
      <c r="A44" s="186"/>
      <c r="B44" s="129" t="s">
        <v>59</v>
      </c>
      <c r="C44" s="126">
        <f>SUM(C27:C42)</f>
        <v>12</v>
      </c>
      <c r="D44" s="187"/>
      <c r="E44" s="187"/>
      <c r="F44" s="187"/>
      <c r="G44" s="187"/>
      <c r="H44" s="188"/>
      <c r="I44" s="187"/>
      <c r="J44" s="187"/>
      <c r="K44" s="187"/>
      <c r="L44" s="187"/>
      <c r="M44" s="187"/>
      <c r="N44" s="187"/>
      <c r="O44" s="187"/>
      <c r="P44" s="187"/>
      <c r="Q44" s="187"/>
      <c r="R44" s="176">
        <f>R27+R28+R29+R30+R31+R32+R33+R34+R35+R36+R37+R38+R39+R41+R42+R40</f>
        <v>118555.55</v>
      </c>
      <c r="S44" s="150"/>
      <c r="T44" s="42"/>
      <c r="U44" s="42"/>
      <c r="V44" s="42"/>
    </row>
    <row r="45" spans="1:22" ht="19.5" customHeight="1">
      <c r="A45" s="29"/>
      <c r="B45" s="2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28"/>
      <c r="S45" s="28"/>
      <c r="T45" s="42"/>
      <c r="U45" s="42"/>
      <c r="V45" s="42"/>
    </row>
    <row r="46" spans="1:22" ht="19.5" customHeight="1">
      <c r="A46" s="15"/>
      <c r="B46" s="15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5"/>
      <c r="S46" s="15"/>
      <c r="T46" s="42"/>
      <c r="U46" s="42"/>
      <c r="V46" s="42"/>
    </row>
    <row r="47" spans="1:22" ht="19.5" customHeight="1">
      <c r="A47" s="7"/>
      <c r="B47" s="10"/>
      <c r="C47" s="89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30"/>
      <c r="S47" s="28"/>
      <c r="T47" s="42"/>
      <c r="U47" s="42"/>
      <c r="V47" s="42"/>
    </row>
    <row r="48" spans="1:22" ht="19.5" customHeight="1">
      <c r="A48" s="28"/>
      <c r="B48" s="55"/>
      <c r="C48" s="79"/>
      <c r="D48" s="79"/>
      <c r="E48" s="79"/>
      <c r="F48" s="453" t="s">
        <v>181</v>
      </c>
      <c r="G48" s="453"/>
      <c r="H48" s="453"/>
      <c r="I48" s="453"/>
      <c r="J48" s="453"/>
      <c r="K48" s="453"/>
      <c r="L48" s="453"/>
      <c r="M48" s="78"/>
      <c r="N48" s="78"/>
      <c r="O48" s="78"/>
      <c r="P48" s="78"/>
      <c r="Q48" s="78"/>
      <c r="R48" s="28"/>
      <c r="S48" s="28"/>
      <c r="T48" s="42"/>
      <c r="U48" s="42"/>
      <c r="V48" s="42"/>
    </row>
    <row r="49" spans="1:22" ht="19.5" customHeight="1">
      <c r="A49" s="189">
        <v>1</v>
      </c>
      <c r="B49" s="113" t="s">
        <v>140</v>
      </c>
      <c r="C49" s="121">
        <f>2-1</f>
        <v>1</v>
      </c>
      <c r="D49" s="191">
        <f>7100*1.5</f>
        <v>10650</v>
      </c>
      <c r="E49" s="191"/>
      <c r="F49" s="191"/>
      <c r="G49" s="191"/>
      <c r="H49" s="191"/>
      <c r="I49" s="191"/>
      <c r="J49" s="191"/>
      <c r="K49" s="190">
        <f>SUM(D49:J49)</f>
        <v>10650</v>
      </c>
      <c r="L49" s="191"/>
      <c r="M49" s="191"/>
      <c r="N49" s="165"/>
      <c r="O49" s="191"/>
      <c r="P49" s="191"/>
      <c r="Q49" s="274">
        <f>13500-(D49+N49)*C49</f>
        <v>2850</v>
      </c>
      <c r="R49" s="191">
        <f>SUM(K49:P49)*C49+Q49</f>
        <v>13500</v>
      </c>
      <c r="S49" s="193">
        <v>10</v>
      </c>
      <c r="T49" s="42"/>
      <c r="U49" s="42"/>
      <c r="V49" s="42"/>
    </row>
    <row r="50" spans="1:22" ht="19.5" customHeight="1">
      <c r="A50" s="189">
        <v>2</v>
      </c>
      <c r="B50" s="114" t="s">
        <v>78</v>
      </c>
      <c r="C50" s="194">
        <v>0.25</v>
      </c>
      <c r="D50" s="191">
        <f>7100*1</f>
        <v>7100</v>
      </c>
      <c r="E50" s="191"/>
      <c r="F50" s="191"/>
      <c r="G50" s="191"/>
      <c r="H50" s="191"/>
      <c r="I50" s="191"/>
      <c r="J50" s="191"/>
      <c r="K50" s="190">
        <f>SUM(D50:J50)</f>
        <v>7100</v>
      </c>
      <c r="L50" s="191"/>
      <c r="M50" s="191"/>
      <c r="N50" s="191"/>
      <c r="O50" s="191"/>
      <c r="P50" s="191"/>
      <c r="Q50" s="191"/>
      <c r="R50" s="191">
        <f>SUM(K50:P50)*C50</f>
        <v>1775</v>
      </c>
      <c r="S50" s="193">
        <v>5</v>
      </c>
      <c r="T50" s="42"/>
      <c r="U50" s="42"/>
      <c r="V50" s="42"/>
    </row>
    <row r="51" spans="1:22" ht="19.5" customHeight="1">
      <c r="A51" s="189"/>
      <c r="B51" s="114"/>
      <c r="C51" s="194"/>
      <c r="D51" s="191"/>
      <c r="E51" s="191"/>
      <c r="F51" s="191"/>
      <c r="G51" s="191"/>
      <c r="H51" s="191"/>
      <c r="I51" s="191"/>
      <c r="J51" s="191"/>
      <c r="K51" s="190"/>
      <c r="L51" s="191"/>
      <c r="M51" s="191"/>
      <c r="N51" s="191"/>
      <c r="O51" s="191"/>
      <c r="P51" s="191"/>
      <c r="Q51" s="191"/>
      <c r="R51" s="191"/>
      <c r="S51" s="193"/>
      <c r="T51" s="42"/>
      <c r="U51" s="42"/>
      <c r="V51" s="42"/>
    </row>
    <row r="52" spans="1:22" ht="19.5" customHeight="1">
      <c r="A52" s="195"/>
      <c r="B52" s="129" t="s">
        <v>59</v>
      </c>
      <c r="C52" s="196">
        <f>SUM(C49:C50)</f>
        <v>1.25</v>
      </c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>
        <f>R49+R50</f>
        <v>15275</v>
      </c>
      <c r="S52" s="197"/>
      <c r="T52" s="42"/>
      <c r="U52" s="42"/>
      <c r="V52" s="42"/>
    </row>
    <row r="53" spans="1:22" ht="19.5" customHeight="1">
      <c r="A53" s="195"/>
      <c r="B53" s="129" t="s">
        <v>12</v>
      </c>
      <c r="C53" s="175">
        <f>0</f>
        <v>0</v>
      </c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>
        <f>0</f>
        <v>0</v>
      </c>
      <c r="S53" s="197"/>
      <c r="T53" s="42"/>
      <c r="U53" s="42"/>
      <c r="V53" s="42"/>
    </row>
    <row r="54" spans="1:19" ht="19.5" customHeight="1">
      <c r="A54" s="198"/>
      <c r="B54" s="85" t="s">
        <v>132</v>
      </c>
      <c r="C54" s="181">
        <f>C49</f>
        <v>1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>
        <f>R49</f>
        <v>13500</v>
      </c>
      <c r="S54" s="199"/>
    </row>
    <row r="55" spans="1:19" ht="19.5" customHeight="1">
      <c r="A55" s="200"/>
      <c r="B55" s="85" t="s">
        <v>14</v>
      </c>
      <c r="C55" s="201">
        <f>C50</f>
        <v>0.25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>
        <f>R50</f>
        <v>1775</v>
      </c>
      <c r="S55" s="199"/>
    </row>
    <row r="56" spans="1:19" ht="19.5" customHeight="1">
      <c r="A56" s="112"/>
      <c r="B56" s="48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49"/>
      <c r="S56" s="28"/>
    </row>
    <row r="57" spans="1:19" ht="19.5" customHeight="1">
      <c r="A57" s="28"/>
      <c r="B57" s="3"/>
      <c r="C57" s="3"/>
      <c r="D57" s="34"/>
      <c r="E57" s="3"/>
      <c r="F57" s="34"/>
      <c r="G57" s="3"/>
      <c r="H57" s="3"/>
      <c r="I57" s="3"/>
      <c r="J57" s="3"/>
      <c r="K57" s="3"/>
      <c r="L57" s="3"/>
      <c r="M57" s="3"/>
      <c r="N57" s="3"/>
      <c r="O57" s="3"/>
      <c r="P57" s="34"/>
      <c r="Q57" s="34"/>
      <c r="R57" s="34"/>
      <c r="S57" s="3"/>
    </row>
    <row r="58" spans="1:25" ht="19.5" customHeight="1">
      <c r="A58" s="11"/>
      <c r="B58" s="202" t="s">
        <v>90</v>
      </c>
      <c r="C58" s="295">
        <f>C19+C44+C52</f>
        <v>19.25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206">
        <f>R19+R44+R52</f>
        <v>250356.47149999999</v>
      </c>
      <c r="S58" s="3"/>
      <c r="T58" s="42"/>
      <c r="U58" s="42"/>
      <c r="V58" s="42"/>
      <c r="W58" s="42"/>
      <c r="X58" s="42"/>
      <c r="Y58" s="42"/>
    </row>
    <row r="59" spans="1:19" ht="19.5" customHeight="1">
      <c r="A59" s="11"/>
      <c r="B59" s="202" t="s">
        <v>9</v>
      </c>
      <c r="C59" s="296">
        <f>C20</f>
        <v>2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207">
        <f>R20+R53</f>
        <v>50185.9215</v>
      </c>
      <c r="S59" s="3"/>
    </row>
    <row r="60" spans="1:19" ht="19.5" customHeight="1">
      <c r="A60" s="11"/>
      <c r="B60" s="202" t="s">
        <v>7</v>
      </c>
      <c r="C60" s="203">
        <f>C21+C54</f>
        <v>2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206">
        <f>R21+R54</f>
        <v>27000</v>
      </c>
      <c r="S60" s="3"/>
    </row>
    <row r="61" spans="1:19" ht="19.5" customHeight="1">
      <c r="A61" s="11"/>
      <c r="B61" s="204" t="s">
        <v>10</v>
      </c>
      <c r="C61" s="205">
        <f>C22+C44+C55</f>
        <v>15.25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207">
        <f>R22+R44+R55</f>
        <v>173170.55</v>
      </c>
      <c r="S61" s="3"/>
    </row>
    <row r="62" spans="1:19" ht="19.5" customHeight="1">
      <c r="A62" s="3"/>
      <c r="B62" s="4"/>
      <c r="C62" s="46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5"/>
      <c r="S62" s="3"/>
    </row>
    <row r="63" spans="1:19" ht="19.5" customHeight="1">
      <c r="A63" s="34"/>
      <c r="B63" s="80"/>
      <c r="C63" s="80"/>
      <c r="D63" s="80"/>
      <c r="E63" s="80"/>
      <c r="F63" s="22"/>
      <c r="G63" s="22"/>
      <c r="H63" s="22"/>
      <c r="I63" s="22"/>
      <c r="J63" s="22"/>
      <c r="K63" s="22"/>
      <c r="L63" s="22"/>
      <c r="M63" s="22"/>
      <c r="N63" s="28"/>
      <c r="O63" s="28"/>
      <c r="P63" s="28"/>
      <c r="Q63" s="28"/>
      <c r="R63" s="28"/>
      <c r="S63" s="28"/>
    </row>
    <row r="64" spans="1:19" ht="16.5">
      <c r="A64" s="34"/>
      <c r="B64" s="36"/>
      <c r="C64" s="22"/>
      <c r="D64" s="22"/>
      <c r="E64" s="22"/>
      <c r="F64" s="22"/>
      <c r="G64" s="22"/>
      <c r="H64" s="22"/>
      <c r="I64" s="43"/>
      <c r="J64" s="22"/>
      <c r="K64" s="22"/>
      <c r="L64" s="22"/>
      <c r="M64" s="22"/>
      <c r="N64" s="28"/>
      <c r="O64" s="28"/>
      <c r="P64" s="28"/>
      <c r="Q64" s="28"/>
      <c r="R64" s="28"/>
      <c r="S64" s="28"/>
    </row>
    <row r="65" ht="15">
      <c r="A65" s="34"/>
    </row>
    <row r="66" ht="15">
      <c r="A66" s="34"/>
    </row>
    <row r="67" spans="1:20" ht="15">
      <c r="A67" s="34"/>
      <c r="T67" s="42"/>
    </row>
    <row r="68" ht="15">
      <c r="A68" s="2"/>
    </row>
    <row r="69" ht="18">
      <c r="A69" s="8"/>
    </row>
    <row r="70" ht="18">
      <c r="A70" s="8"/>
    </row>
    <row r="71" spans="1:21" ht="18">
      <c r="A71" s="8"/>
      <c r="D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9"/>
      <c r="U71" s="9"/>
    </row>
  </sheetData>
  <sheetProtection/>
  <autoFilter ref="S5:S71"/>
  <mergeCells count="19">
    <mergeCell ref="A5:A6"/>
    <mergeCell ref="B5:B6"/>
    <mergeCell ref="C5:C6"/>
    <mergeCell ref="D5:D6"/>
    <mergeCell ref="F48:L48"/>
    <mergeCell ref="A24:S24"/>
    <mergeCell ref="K5:K6"/>
    <mergeCell ref="R5:R6"/>
    <mergeCell ref="A25:S25"/>
    <mergeCell ref="A8:S8"/>
    <mergeCell ref="A9:S9"/>
    <mergeCell ref="A10:S10"/>
    <mergeCell ref="S5:S6"/>
    <mergeCell ref="E5:J5"/>
    <mergeCell ref="M1:R1"/>
    <mergeCell ref="M2:R2"/>
    <mergeCell ref="M3:R3"/>
    <mergeCell ref="O5:Q5"/>
    <mergeCell ref="L5:N5"/>
  </mergeCells>
  <printOptions/>
  <pageMargins left="0.25" right="0.1968503937007874" top="0.54" bottom="0.1968503937007874" header="0.1968503937007874" footer="0.1968503937007874"/>
  <pageSetup fitToHeight="2" horizontalDpi="300" verticalDpi="300" orientation="landscape" paperSize="9" scale="66" r:id="rId1"/>
  <rowBreaks count="1" manualBreakCount="1">
    <brk id="3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9966"/>
  </sheetPr>
  <dimension ref="A1:Z56"/>
  <sheetViews>
    <sheetView view="pageBreakPreview" zoomScale="85" zoomScaleNormal="75" zoomScaleSheetLayoutView="85" zoomScalePageLayoutView="0" workbookViewId="0" topLeftCell="C1">
      <selection activeCell="P1" sqref="P1:S2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0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81" customWidth="1"/>
    <col min="19" max="19" width="10.625" style="0" customWidth="1"/>
    <col min="20" max="20" width="11.125" style="0" customWidth="1"/>
    <col min="23" max="23" width="11.875" style="0" customWidth="1"/>
    <col min="24" max="24" width="11.50390625" style="0" customWidth="1"/>
    <col min="26" max="26" width="11.875" style="0" customWidth="1"/>
  </cols>
  <sheetData>
    <row r="1" spans="16:19" ht="13.5">
      <c r="P1" s="462" t="s">
        <v>193</v>
      </c>
      <c r="Q1" s="462"/>
      <c r="R1" s="404"/>
      <c r="S1" s="51"/>
    </row>
    <row r="2" spans="16:19" ht="45" customHeight="1">
      <c r="P2" s="462" t="s">
        <v>192</v>
      </c>
      <c r="Q2" s="462"/>
      <c r="R2" s="462"/>
      <c r="S2" s="462"/>
    </row>
    <row r="4" spans="1:19" ht="15" customHeight="1">
      <c r="A4" s="457" t="s">
        <v>0</v>
      </c>
      <c r="B4" s="457" t="s">
        <v>1</v>
      </c>
      <c r="C4" s="457" t="s">
        <v>171</v>
      </c>
      <c r="D4" s="457" t="s">
        <v>97</v>
      </c>
      <c r="E4" s="450" t="s">
        <v>63</v>
      </c>
      <c r="F4" s="451"/>
      <c r="G4" s="451"/>
      <c r="H4" s="451"/>
      <c r="I4" s="451"/>
      <c r="J4" s="452"/>
      <c r="K4" s="455" t="s">
        <v>147</v>
      </c>
      <c r="L4" s="450" t="s">
        <v>64</v>
      </c>
      <c r="M4" s="451"/>
      <c r="N4" s="451"/>
      <c r="O4" s="450" t="s">
        <v>66</v>
      </c>
      <c r="P4" s="451"/>
      <c r="Q4" s="452"/>
      <c r="R4" s="457" t="s">
        <v>2</v>
      </c>
      <c r="S4" s="457" t="s">
        <v>3</v>
      </c>
    </row>
    <row r="5" spans="1:19" ht="79.5" customHeight="1">
      <c r="A5" s="458"/>
      <c r="B5" s="458"/>
      <c r="C5" s="458"/>
      <c r="D5" s="458"/>
      <c r="E5" s="37" t="s">
        <v>172</v>
      </c>
      <c r="F5" s="37" t="s">
        <v>175</v>
      </c>
      <c r="G5" s="37" t="s">
        <v>116</v>
      </c>
      <c r="H5" s="37" t="s">
        <v>183</v>
      </c>
      <c r="I5" s="37" t="s">
        <v>176</v>
      </c>
      <c r="J5" s="37" t="s">
        <v>184</v>
      </c>
      <c r="K5" s="456"/>
      <c r="L5" s="37" t="s">
        <v>177</v>
      </c>
      <c r="M5" s="37" t="s">
        <v>65</v>
      </c>
      <c r="N5" s="37" t="s">
        <v>61</v>
      </c>
      <c r="O5" s="37" t="s">
        <v>174</v>
      </c>
      <c r="P5" s="37" t="s">
        <v>100</v>
      </c>
      <c r="Q5" s="382" t="s">
        <v>185</v>
      </c>
      <c r="R5" s="458"/>
      <c r="S5" s="458"/>
    </row>
    <row r="6" spans="1:19" ht="12" customHeight="1">
      <c r="A6" s="38">
        <v>1</v>
      </c>
      <c r="B6" s="39">
        <v>2</v>
      </c>
      <c r="C6" s="39">
        <v>3</v>
      </c>
      <c r="D6" s="39">
        <v>4</v>
      </c>
      <c r="E6" s="39">
        <v>5</v>
      </c>
      <c r="F6" s="45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  <c r="R6" s="39">
        <v>18</v>
      </c>
      <c r="S6" s="39">
        <v>19</v>
      </c>
    </row>
    <row r="7" spans="1:25" ht="19.5" customHeight="1">
      <c r="A7" s="464" t="s">
        <v>73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Y7" s="42"/>
    </row>
    <row r="8" spans="1:25" ht="12" customHeight="1">
      <c r="A8" s="40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39">
        <v>17</v>
      </c>
      <c r="R8" s="39">
        <v>18</v>
      </c>
      <c r="S8" s="39">
        <v>19</v>
      </c>
      <c r="Y8" s="42"/>
    </row>
    <row r="9" spans="1:25" ht="19.5" customHeight="1">
      <c r="A9" s="151">
        <v>1</v>
      </c>
      <c r="B9" s="209" t="s">
        <v>98</v>
      </c>
      <c r="C9" s="210">
        <f>5</f>
        <v>5</v>
      </c>
      <c r="D9" s="147">
        <f>7253</f>
        <v>7253</v>
      </c>
      <c r="E9" s="185">
        <f>7732*15%</f>
        <v>1159.8</v>
      </c>
      <c r="F9" s="208"/>
      <c r="G9" s="211"/>
      <c r="H9" s="212"/>
      <c r="I9" s="212"/>
      <c r="J9" s="212"/>
      <c r="K9" s="147">
        <f>SUM(D9:J9)</f>
        <v>8412.8</v>
      </c>
      <c r="L9" s="147"/>
      <c r="M9" s="212"/>
      <c r="N9" s="212">
        <f>K9*30%</f>
        <v>2523.8399999999997</v>
      </c>
      <c r="O9" s="185"/>
      <c r="P9" s="185"/>
      <c r="Q9" s="147">
        <f>100000-(D9+E9+N9)*C9</f>
        <v>45316.8</v>
      </c>
      <c r="R9" s="149">
        <f>SUM(K9:P9)*C9+Q9</f>
        <v>100000</v>
      </c>
      <c r="S9" s="213">
        <v>13</v>
      </c>
      <c r="Y9" s="42"/>
    </row>
    <row r="10" spans="1:25" ht="19.5" customHeight="1">
      <c r="A10" s="151">
        <v>2</v>
      </c>
      <c r="B10" s="214" t="s">
        <v>126</v>
      </c>
      <c r="C10" s="124">
        <f>2.5+0.5-0.5</f>
        <v>2.5</v>
      </c>
      <c r="D10" s="147">
        <f>7253</f>
        <v>7253</v>
      </c>
      <c r="E10" s="149"/>
      <c r="F10" s="208"/>
      <c r="G10" s="149"/>
      <c r="H10" s="149"/>
      <c r="I10" s="149"/>
      <c r="J10" s="149"/>
      <c r="K10" s="149">
        <f aca="true" t="shared" si="0" ref="K10:K17">SUM(D10:J10)</f>
        <v>7253</v>
      </c>
      <c r="L10" s="149"/>
      <c r="M10" s="149"/>
      <c r="N10" s="149">
        <f>K10*30%</f>
        <v>2175.9</v>
      </c>
      <c r="O10" s="149"/>
      <c r="P10" s="149"/>
      <c r="Q10" s="147">
        <f>50000-(D10+E10+N10)*C10</f>
        <v>26427.75</v>
      </c>
      <c r="R10" s="149">
        <f>SUM(K10:P10)*C10+Q10</f>
        <v>50000</v>
      </c>
      <c r="S10" s="215">
        <v>13</v>
      </c>
      <c r="Y10" s="42"/>
    </row>
    <row r="11" spans="1:25" ht="19.5" customHeight="1">
      <c r="A11" s="151">
        <v>3</v>
      </c>
      <c r="B11" s="214" t="s">
        <v>127</v>
      </c>
      <c r="C11" s="124">
        <v>1</v>
      </c>
      <c r="D11" s="147">
        <f>7253</f>
        <v>7253</v>
      </c>
      <c r="E11" s="149"/>
      <c r="F11" s="208"/>
      <c r="G11" s="149"/>
      <c r="H11" s="149"/>
      <c r="I11" s="149"/>
      <c r="J11" s="149"/>
      <c r="K11" s="149">
        <f t="shared" si="0"/>
        <v>7253</v>
      </c>
      <c r="L11" s="147"/>
      <c r="M11" s="149"/>
      <c r="N11" s="216">
        <f>K11*30%</f>
        <v>2175.9</v>
      </c>
      <c r="O11" s="149"/>
      <c r="P11" s="149"/>
      <c r="Q11" s="147">
        <f>20000-(D11+E11+N11)*C11</f>
        <v>10571.1</v>
      </c>
      <c r="R11" s="149">
        <f>SUM(K11:P11)*C11+Q11</f>
        <v>20000</v>
      </c>
      <c r="S11" s="215">
        <v>13</v>
      </c>
      <c r="Y11" s="42"/>
    </row>
    <row r="12" spans="1:25" ht="19.5" customHeight="1">
      <c r="A12" s="151">
        <v>4</v>
      </c>
      <c r="B12" s="145" t="s">
        <v>128</v>
      </c>
      <c r="C12" s="124">
        <f>1+1+1</f>
        <v>3</v>
      </c>
      <c r="D12" s="147">
        <f>7100*1</f>
        <v>7100</v>
      </c>
      <c r="E12" s="147"/>
      <c r="F12" s="208"/>
      <c r="G12" s="147"/>
      <c r="H12" s="147"/>
      <c r="I12" s="147"/>
      <c r="J12" s="147"/>
      <c r="K12" s="147">
        <f t="shared" si="0"/>
        <v>7100</v>
      </c>
      <c r="L12" s="149"/>
      <c r="M12" s="149"/>
      <c r="N12" s="216"/>
      <c r="O12" s="147"/>
      <c r="P12" s="147"/>
      <c r="Q12" s="147"/>
      <c r="R12" s="149">
        <f>SUM(K12:P12)*C12</f>
        <v>21300</v>
      </c>
      <c r="S12" s="150">
        <f>10</f>
        <v>10</v>
      </c>
      <c r="Y12" s="42"/>
    </row>
    <row r="13" spans="1:25" ht="19.5" customHeight="1">
      <c r="A13" s="151">
        <v>5</v>
      </c>
      <c r="B13" s="145" t="s">
        <v>71</v>
      </c>
      <c r="C13" s="288">
        <f>10.25+5+1-1</f>
        <v>15.25</v>
      </c>
      <c r="D13" s="149">
        <f>5527</f>
        <v>5527</v>
      </c>
      <c r="E13" s="147"/>
      <c r="F13" s="208"/>
      <c r="G13" s="147"/>
      <c r="H13" s="172">
        <f>D13*10%</f>
        <v>552.7</v>
      </c>
      <c r="I13" s="147"/>
      <c r="J13" s="147"/>
      <c r="K13" s="147">
        <f>SUM(D13:J13)-H13</f>
        <v>5527</v>
      </c>
      <c r="L13" s="147"/>
      <c r="M13" s="147"/>
      <c r="N13" s="147">
        <f>K13*30%</f>
        <v>1658.1</v>
      </c>
      <c r="O13" s="147"/>
      <c r="P13" s="147"/>
      <c r="Q13" s="147">
        <f>205875-13500-(D13+N13)*C13</f>
        <v>82802.22499999999</v>
      </c>
      <c r="R13" s="149">
        <f>SUM(K13:P13)*C13+H13+Q13</f>
        <v>192927.7</v>
      </c>
      <c r="S13" s="150">
        <v>9</v>
      </c>
      <c r="Y13" s="42"/>
    </row>
    <row r="14" spans="1:25" s="281" customFormat="1" ht="23.25" customHeight="1">
      <c r="A14" s="217">
        <v>6</v>
      </c>
      <c r="B14" s="158" t="s">
        <v>162</v>
      </c>
      <c r="C14" s="298">
        <v>1</v>
      </c>
      <c r="D14" s="172">
        <f>5527</f>
        <v>5527</v>
      </c>
      <c r="E14" s="172"/>
      <c r="F14" s="218"/>
      <c r="G14" s="172"/>
      <c r="H14" s="172"/>
      <c r="I14" s="172"/>
      <c r="J14" s="172"/>
      <c r="K14" s="172">
        <f>SUM(D14:J14)-H14</f>
        <v>5527</v>
      </c>
      <c r="L14" s="172"/>
      <c r="M14" s="172"/>
      <c r="N14" s="172">
        <f>K14*30%</f>
        <v>1658.1</v>
      </c>
      <c r="O14" s="172"/>
      <c r="P14" s="172"/>
      <c r="Q14" s="172">
        <f>13500-(D14+N14)*C14</f>
        <v>6314.9</v>
      </c>
      <c r="R14" s="148">
        <f>SUM(K14:P14)*C14+H14+Q14</f>
        <v>13500</v>
      </c>
      <c r="S14" s="299">
        <v>9</v>
      </c>
      <c r="Y14" s="297"/>
    </row>
    <row r="15" spans="1:25" ht="19.5" customHeight="1">
      <c r="A15" s="151">
        <v>7</v>
      </c>
      <c r="B15" s="145" t="s">
        <v>118</v>
      </c>
      <c r="C15" s="298">
        <f>0.5</f>
        <v>0.5</v>
      </c>
      <c r="D15" s="147">
        <f>7100*1</f>
        <v>7100</v>
      </c>
      <c r="E15" s="208"/>
      <c r="F15" s="208"/>
      <c r="G15" s="147"/>
      <c r="H15" s="147"/>
      <c r="I15" s="147"/>
      <c r="J15" s="147"/>
      <c r="K15" s="147">
        <f t="shared" si="0"/>
        <v>7100</v>
      </c>
      <c r="L15" s="147"/>
      <c r="M15" s="147"/>
      <c r="N15" s="172"/>
      <c r="O15" s="147"/>
      <c r="P15" s="147">
        <f>4058*10%</f>
        <v>405.8</v>
      </c>
      <c r="Q15" s="147"/>
      <c r="R15" s="149">
        <f>SUM(K15:P15)*C15</f>
        <v>3752.9</v>
      </c>
      <c r="S15" s="150">
        <v>4</v>
      </c>
      <c r="Y15" s="42"/>
    </row>
    <row r="16" spans="1:25" ht="31.5" customHeight="1">
      <c r="A16" s="151">
        <v>8</v>
      </c>
      <c r="B16" s="145" t="s">
        <v>129</v>
      </c>
      <c r="C16" s="383">
        <f>2.75</f>
        <v>2.75</v>
      </c>
      <c r="D16" s="147">
        <f>7100*1</f>
        <v>7100</v>
      </c>
      <c r="E16" s="147"/>
      <c r="F16" s="208"/>
      <c r="G16" s="147"/>
      <c r="H16" s="147"/>
      <c r="I16" s="147"/>
      <c r="J16" s="147"/>
      <c r="K16" s="147">
        <f t="shared" si="0"/>
        <v>7100</v>
      </c>
      <c r="L16" s="147"/>
      <c r="M16" s="147"/>
      <c r="N16" s="146"/>
      <c r="O16" s="147"/>
      <c r="P16" s="147">
        <f>3770*10%</f>
        <v>377</v>
      </c>
      <c r="Q16" s="147"/>
      <c r="R16" s="149">
        <f>SUM(K16:P16)*C16</f>
        <v>20561.75</v>
      </c>
      <c r="S16" s="150">
        <v>3</v>
      </c>
      <c r="Y16" s="42"/>
    </row>
    <row r="17" spans="1:25" ht="15.75" customHeight="1">
      <c r="A17" s="151">
        <v>9</v>
      </c>
      <c r="B17" s="145" t="s">
        <v>141</v>
      </c>
      <c r="C17" s="123">
        <v>1</v>
      </c>
      <c r="D17" s="147">
        <f>7100*1</f>
        <v>7100</v>
      </c>
      <c r="E17" s="146"/>
      <c r="F17" s="208"/>
      <c r="G17" s="146"/>
      <c r="H17" s="146"/>
      <c r="I17" s="146"/>
      <c r="J17" s="146"/>
      <c r="K17" s="147">
        <f t="shared" si="0"/>
        <v>7100</v>
      </c>
      <c r="L17" s="146"/>
      <c r="M17" s="146"/>
      <c r="N17" s="146"/>
      <c r="O17" s="147"/>
      <c r="P17" s="147"/>
      <c r="Q17" s="147"/>
      <c r="R17" s="149">
        <f>SUM(K17:P17)*C17</f>
        <v>7100</v>
      </c>
      <c r="S17" s="150">
        <v>5</v>
      </c>
      <c r="Y17" s="42"/>
    </row>
    <row r="18" spans="1:25" ht="19.5" customHeight="1">
      <c r="A18" s="151">
        <v>10</v>
      </c>
      <c r="B18" s="145" t="s">
        <v>161</v>
      </c>
      <c r="C18" s="219">
        <v>0.25</v>
      </c>
      <c r="D18" s="147">
        <f>7100*1</f>
        <v>7100</v>
      </c>
      <c r="E18" s="147"/>
      <c r="F18" s="208"/>
      <c r="G18" s="147"/>
      <c r="H18" s="147"/>
      <c r="I18" s="147"/>
      <c r="J18" s="147"/>
      <c r="K18" s="147">
        <f>SUM(D18:J18)</f>
        <v>7100</v>
      </c>
      <c r="L18" s="147"/>
      <c r="M18" s="147"/>
      <c r="N18" s="147"/>
      <c r="O18" s="147"/>
      <c r="P18" s="147"/>
      <c r="Q18" s="147"/>
      <c r="R18" s="149">
        <f>SUM(L18:Q18)+K18*C18</f>
        <v>1775</v>
      </c>
      <c r="S18" s="150">
        <v>8</v>
      </c>
      <c r="Y18" s="42"/>
    </row>
    <row r="19" spans="1:25" ht="19.5" customHeight="1">
      <c r="A19" s="151"/>
      <c r="B19" s="145"/>
      <c r="C19" s="219"/>
      <c r="D19" s="147"/>
      <c r="E19" s="147"/>
      <c r="F19" s="208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9"/>
      <c r="S19" s="150"/>
      <c r="Y19" s="42"/>
    </row>
    <row r="20" spans="1:25" ht="19.5" customHeight="1">
      <c r="A20" s="151"/>
      <c r="B20" s="220" t="s">
        <v>59</v>
      </c>
      <c r="C20" s="127">
        <f>SUM(C9:C18)</f>
        <v>32.25</v>
      </c>
      <c r="D20" s="221"/>
      <c r="E20" s="221"/>
      <c r="F20" s="222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176">
        <f>R9+R10+R11+R12+R13+R14+R15+R16+R17+R18</f>
        <v>430917.35000000003</v>
      </c>
      <c r="S20" s="223"/>
      <c r="V20" s="141"/>
      <c r="Y20" s="42"/>
    </row>
    <row r="21" spans="1:25" ht="19.5" customHeight="1">
      <c r="A21" s="224"/>
      <c r="B21" s="225" t="s">
        <v>72</v>
      </c>
      <c r="C21" s="125"/>
      <c r="D21" s="221"/>
      <c r="E21" s="221"/>
      <c r="F21" s="222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6"/>
      <c r="S21" s="223"/>
      <c r="Y21" s="42"/>
    </row>
    <row r="22" spans="1:25" ht="19.5" customHeight="1">
      <c r="A22" s="224"/>
      <c r="B22" s="225" t="s">
        <v>12</v>
      </c>
      <c r="C22" s="126">
        <f>C9+C10+C11+C12</f>
        <v>11.5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>
        <f>R9+R10+R11+R12</f>
        <v>191300</v>
      </c>
      <c r="S22" s="223"/>
      <c r="Y22" s="42"/>
    </row>
    <row r="23" spans="1:25" ht="19.5" customHeight="1">
      <c r="A23" s="224"/>
      <c r="B23" s="225" t="s">
        <v>132</v>
      </c>
      <c r="C23" s="127">
        <f>C13+C14</f>
        <v>16.25</v>
      </c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>
        <f>R13+R14</f>
        <v>206427.7</v>
      </c>
      <c r="S23" s="223"/>
      <c r="Y23" s="42"/>
    </row>
    <row r="24" spans="1:25" ht="19.5" customHeight="1">
      <c r="A24" s="224"/>
      <c r="B24" s="225" t="s">
        <v>13</v>
      </c>
      <c r="C24" s="127">
        <f>C16</f>
        <v>2.75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>
        <f>R16</f>
        <v>20561.75</v>
      </c>
      <c r="S24" s="223"/>
      <c r="Y24" s="42"/>
    </row>
    <row r="25" spans="1:25" ht="19.5" customHeight="1">
      <c r="A25" s="224"/>
      <c r="B25" s="225" t="s">
        <v>14</v>
      </c>
      <c r="C25" s="127">
        <f>C15+C17+C18</f>
        <v>1.75</v>
      </c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>
        <f>R15+R17+R18</f>
        <v>12627.9</v>
      </c>
      <c r="S25" s="223"/>
      <c r="Y25" s="42"/>
    </row>
    <row r="26" spans="1:25" ht="19.5" customHeight="1">
      <c r="A26" s="463" t="s">
        <v>130</v>
      </c>
      <c r="B26" s="463"/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Y26" s="42"/>
    </row>
    <row r="27" spans="1:25" ht="12" customHeight="1">
      <c r="A27" s="122">
        <v>1</v>
      </c>
      <c r="B27" s="122">
        <v>2</v>
      </c>
      <c r="C27" s="122">
        <v>3</v>
      </c>
      <c r="D27" s="130">
        <v>4</v>
      </c>
      <c r="E27" s="130">
        <v>5</v>
      </c>
      <c r="F27" s="131">
        <v>6</v>
      </c>
      <c r="G27" s="130">
        <v>7</v>
      </c>
      <c r="H27" s="130">
        <v>8</v>
      </c>
      <c r="I27" s="130">
        <v>9</v>
      </c>
      <c r="J27" s="130">
        <v>10</v>
      </c>
      <c r="K27" s="130">
        <v>11</v>
      </c>
      <c r="L27" s="130">
        <v>12</v>
      </c>
      <c r="M27" s="130">
        <v>13</v>
      </c>
      <c r="N27" s="130">
        <v>14</v>
      </c>
      <c r="O27" s="130">
        <v>15</v>
      </c>
      <c r="P27" s="130">
        <v>16</v>
      </c>
      <c r="Q27" s="130"/>
      <c r="R27" s="130">
        <v>17</v>
      </c>
      <c r="S27" s="122">
        <v>18</v>
      </c>
      <c r="Y27" s="42"/>
    </row>
    <row r="28" spans="1:25" s="97" customFormat="1" ht="19.5" customHeight="1">
      <c r="A28" s="228">
        <v>1</v>
      </c>
      <c r="B28" s="229" t="s">
        <v>131</v>
      </c>
      <c r="C28" s="230">
        <v>4.5</v>
      </c>
      <c r="D28" s="231">
        <f>4920</f>
        <v>4920</v>
      </c>
      <c r="E28" s="232"/>
      <c r="F28" s="232"/>
      <c r="G28" s="232"/>
      <c r="H28" s="232"/>
      <c r="I28" s="232"/>
      <c r="J28" s="232"/>
      <c r="K28" s="233">
        <f>SUM(D28:J28)</f>
        <v>4920</v>
      </c>
      <c r="L28" s="232"/>
      <c r="M28" s="232"/>
      <c r="N28" s="232">
        <f>K28*10%</f>
        <v>492</v>
      </c>
      <c r="O28" s="232"/>
      <c r="P28" s="234"/>
      <c r="Q28" s="234">
        <f>60750-(D28+N28)*C28</f>
        <v>36396</v>
      </c>
      <c r="R28" s="231">
        <f>SUM(K28:P28)*C28+Q28</f>
        <v>60750</v>
      </c>
      <c r="S28" s="235">
        <v>7</v>
      </c>
      <c r="Y28" s="96"/>
    </row>
    <row r="29" spans="1:25" s="97" customFormat="1" ht="19.5" customHeight="1">
      <c r="A29" s="228">
        <v>2</v>
      </c>
      <c r="B29" s="229" t="s">
        <v>119</v>
      </c>
      <c r="C29" s="230">
        <v>4.5</v>
      </c>
      <c r="D29" s="232">
        <f>7100*1.3</f>
        <v>9230</v>
      </c>
      <c r="E29" s="232"/>
      <c r="F29" s="232"/>
      <c r="G29" s="232"/>
      <c r="H29" s="232"/>
      <c r="I29" s="232"/>
      <c r="J29" s="232"/>
      <c r="K29" s="233">
        <f>SUM(D29:J29)</f>
        <v>9230</v>
      </c>
      <c r="L29" s="232"/>
      <c r="M29" s="232"/>
      <c r="N29" s="232"/>
      <c r="O29" s="232"/>
      <c r="P29" s="234"/>
      <c r="Q29" s="234"/>
      <c r="R29" s="231">
        <f>SUM(K29:P29)*C29</f>
        <v>41535</v>
      </c>
      <c r="S29" s="235">
        <v>4</v>
      </c>
      <c r="Y29" s="96"/>
    </row>
    <row r="30" spans="1:25" s="97" customFormat="1" ht="19.5" customHeight="1">
      <c r="A30" s="228"/>
      <c r="B30" s="229"/>
      <c r="C30" s="230"/>
      <c r="D30" s="232"/>
      <c r="E30" s="232"/>
      <c r="F30" s="232"/>
      <c r="G30" s="232"/>
      <c r="H30" s="232"/>
      <c r="I30" s="232"/>
      <c r="J30" s="232"/>
      <c r="K30" s="233"/>
      <c r="L30" s="232"/>
      <c r="M30" s="232"/>
      <c r="N30" s="232"/>
      <c r="O30" s="232"/>
      <c r="P30" s="234"/>
      <c r="Q30" s="234"/>
      <c r="R30" s="231"/>
      <c r="S30" s="235"/>
      <c r="Y30" s="96"/>
    </row>
    <row r="31" spans="1:26" s="9" customFormat="1" ht="19.5" customHeight="1">
      <c r="A31" s="236"/>
      <c r="B31" s="220" t="s">
        <v>59</v>
      </c>
      <c r="C31" s="181">
        <f>SUM(C28:C29)</f>
        <v>9</v>
      </c>
      <c r="D31" s="183"/>
      <c r="E31" s="183"/>
      <c r="F31" s="183"/>
      <c r="G31" s="237"/>
      <c r="H31" s="183"/>
      <c r="I31" s="183"/>
      <c r="J31" s="183"/>
      <c r="K31" s="183"/>
      <c r="L31" s="183"/>
      <c r="M31" s="183"/>
      <c r="N31" s="183"/>
      <c r="O31" s="183"/>
      <c r="P31" s="238"/>
      <c r="Q31" s="238"/>
      <c r="R31" s="176">
        <f>SUM(R28:R29)</f>
        <v>102285</v>
      </c>
      <c r="S31" s="239"/>
      <c r="T31" s="87"/>
      <c r="U31" s="87"/>
      <c r="V31" s="87"/>
      <c r="W31" s="87"/>
      <c r="X31" s="87"/>
      <c r="Y31" s="87"/>
      <c r="Z31" s="87"/>
    </row>
    <row r="32" spans="1:25" ht="19.5" customHeight="1">
      <c r="A32" s="199"/>
      <c r="B32" s="225" t="s">
        <v>72</v>
      </c>
      <c r="C32" s="240"/>
      <c r="D32" s="241"/>
      <c r="E32" s="241"/>
      <c r="F32" s="241"/>
      <c r="G32" s="242"/>
      <c r="H32" s="241"/>
      <c r="I32" s="241"/>
      <c r="J32" s="241"/>
      <c r="K32" s="241"/>
      <c r="L32" s="241"/>
      <c r="M32" s="241"/>
      <c r="N32" s="241"/>
      <c r="O32" s="241"/>
      <c r="P32" s="243"/>
      <c r="Q32" s="243"/>
      <c r="R32" s="241"/>
      <c r="S32" s="192"/>
      <c r="Y32" s="42"/>
    </row>
    <row r="33" spans="1:26" s="9" customFormat="1" ht="19.5" customHeight="1">
      <c r="A33" s="236"/>
      <c r="B33" s="225" t="s">
        <v>132</v>
      </c>
      <c r="C33" s="181">
        <f>C28</f>
        <v>4.5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>
        <f>R28</f>
        <v>60750</v>
      </c>
      <c r="S33" s="244"/>
      <c r="T33"/>
      <c r="U33"/>
      <c r="V33"/>
      <c r="W33"/>
      <c r="X33"/>
      <c r="Y33" s="42"/>
      <c r="Z33"/>
    </row>
    <row r="34" spans="1:26" s="9" customFormat="1" ht="19.5" customHeight="1">
      <c r="A34" s="236"/>
      <c r="B34" s="225" t="s">
        <v>13</v>
      </c>
      <c r="C34" s="181">
        <f>0</f>
        <v>0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>
        <f>0</f>
        <v>0</v>
      </c>
      <c r="S34" s="244"/>
      <c r="T34"/>
      <c r="U34"/>
      <c r="V34"/>
      <c r="W34"/>
      <c r="X34"/>
      <c r="Y34" s="42"/>
      <c r="Z34"/>
    </row>
    <row r="35" spans="1:26" s="9" customFormat="1" ht="19.5" customHeight="1">
      <c r="A35" s="236"/>
      <c r="B35" s="225" t="s">
        <v>14</v>
      </c>
      <c r="C35" s="181">
        <f>C29</f>
        <v>4.5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>
        <f>R29</f>
        <v>41535</v>
      </c>
      <c r="S35" s="244"/>
      <c r="T35"/>
      <c r="U35"/>
      <c r="V35"/>
      <c r="W35"/>
      <c r="X35"/>
      <c r="Y35" s="42"/>
      <c r="Z35"/>
    </row>
    <row r="36" spans="1:19" ht="9.75" customHeight="1">
      <c r="A36" s="245"/>
      <c r="B36" s="246"/>
      <c r="C36" s="128"/>
      <c r="D36" s="247"/>
      <c r="E36" s="248"/>
      <c r="F36" s="247"/>
      <c r="G36" s="248"/>
      <c r="H36" s="248"/>
      <c r="I36" s="248"/>
      <c r="J36" s="248"/>
      <c r="K36" s="248"/>
      <c r="L36" s="248"/>
      <c r="M36" s="248"/>
      <c r="N36" s="248"/>
      <c r="O36" s="248"/>
      <c r="P36" s="247"/>
      <c r="Q36" s="247"/>
      <c r="R36" s="247"/>
      <c r="S36" s="249"/>
    </row>
    <row r="37" spans="1:19" ht="9.75" customHeight="1">
      <c r="A37" s="245"/>
      <c r="B37" s="246"/>
      <c r="C37" s="128"/>
      <c r="D37" s="247"/>
      <c r="E37" s="248"/>
      <c r="F37" s="247"/>
      <c r="G37" s="248"/>
      <c r="H37" s="248"/>
      <c r="I37" s="248"/>
      <c r="J37" s="248"/>
      <c r="K37" s="248"/>
      <c r="L37" s="248"/>
      <c r="M37" s="248"/>
      <c r="N37" s="248"/>
      <c r="O37" s="248"/>
      <c r="P37" s="247"/>
      <c r="Q37" s="247"/>
      <c r="R37" s="247"/>
      <c r="S37" s="249"/>
    </row>
    <row r="38" spans="1:19" ht="19.5" customHeight="1">
      <c r="A38" s="250"/>
      <c r="B38" s="251" t="s">
        <v>90</v>
      </c>
      <c r="C38" s="252">
        <f>C20+C31</f>
        <v>41.25</v>
      </c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>
        <f>R20+R31</f>
        <v>533202.3500000001</v>
      </c>
      <c r="S38" s="249"/>
    </row>
    <row r="39" spans="1:19" ht="19.5" customHeight="1">
      <c r="A39" s="250"/>
      <c r="B39" s="251" t="s">
        <v>9</v>
      </c>
      <c r="C39" s="254">
        <f>C22</f>
        <v>11.5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>
        <f>R22</f>
        <v>191300</v>
      </c>
      <c r="S39" s="249"/>
    </row>
    <row r="40" spans="1:19" ht="19.5" customHeight="1">
      <c r="A40" s="250"/>
      <c r="B40" s="251" t="s">
        <v>7</v>
      </c>
      <c r="C40" s="252">
        <f>C23+C33</f>
        <v>20.75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>
        <f>R23+R33</f>
        <v>267177.7</v>
      </c>
      <c r="S40" s="249"/>
    </row>
    <row r="41" spans="1:19" ht="19.5" customHeight="1">
      <c r="A41" s="250"/>
      <c r="B41" s="251" t="s">
        <v>11</v>
      </c>
      <c r="C41" s="384">
        <f>C24+C34</f>
        <v>2.75</v>
      </c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>
        <f>R24+R34</f>
        <v>20561.75</v>
      </c>
      <c r="S41" s="249"/>
    </row>
    <row r="42" spans="1:19" ht="19.5" customHeight="1">
      <c r="A42" s="250"/>
      <c r="B42" s="256" t="s">
        <v>10</v>
      </c>
      <c r="C42" s="384">
        <f>C25+C35</f>
        <v>6.25</v>
      </c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>
        <f>R25+R35</f>
        <v>54162.9</v>
      </c>
      <c r="S42" s="249"/>
    </row>
    <row r="43" spans="1:19" ht="9.75" customHeight="1">
      <c r="A43" s="250"/>
      <c r="B43" s="256"/>
      <c r="C43" s="254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49"/>
    </row>
    <row r="44" spans="1:19" ht="15" customHeight="1">
      <c r="A44" s="33"/>
      <c r="B44" s="80"/>
      <c r="C44" s="80"/>
      <c r="D44" s="98"/>
      <c r="E44" s="116"/>
      <c r="F44" s="115"/>
      <c r="G44" s="115"/>
      <c r="H44" s="115"/>
      <c r="I44" s="115"/>
      <c r="J44" s="115"/>
      <c r="K44" s="115"/>
      <c r="L44" s="115"/>
      <c r="M44" s="22"/>
      <c r="N44" s="28"/>
      <c r="O44" s="28"/>
      <c r="P44" s="28"/>
      <c r="Q44" s="28"/>
      <c r="R44" s="86"/>
      <c r="S44" s="28"/>
    </row>
    <row r="45" spans="1:19" ht="15" customHeight="1">
      <c r="A45" s="3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8"/>
      <c r="O45" s="28"/>
      <c r="P45" s="28"/>
      <c r="Q45" s="28"/>
      <c r="R45" s="86"/>
      <c r="S45" s="28"/>
    </row>
    <row r="46" spans="1:19" ht="16.5">
      <c r="A46" s="34"/>
      <c r="B46" s="36"/>
      <c r="C46" s="22"/>
      <c r="D46" s="22"/>
      <c r="E46" s="22"/>
      <c r="F46" s="22"/>
      <c r="G46" s="22"/>
      <c r="H46" s="22"/>
      <c r="I46" s="43"/>
      <c r="J46" s="22"/>
      <c r="K46" s="22"/>
      <c r="L46" s="22"/>
      <c r="M46" s="22"/>
      <c r="N46" s="28"/>
      <c r="O46" s="28"/>
      <c r="P46" s="28"/>
      <c r="Q46" s="28"/>
      <c r="R46" s="86"/>
      <c r="S46" s="28"/>
    </row>
    <row r="47" spans="1:25" ht="15">
      <c r="A47" s="34"/>
      <c r="Y47" s="42"/>
    </row>
    <row r="48" ht="15">
      <c r="A48" s="34"/>
    </row>
    <row r="49" spans="1:20" ht="15">
      <c r="A49" s="34"/>
      <c r="T49" s="42"/>
    </row>
    <row r="50" ht="15">
      <c r="A50" s="2"/>
    </row>
    <row r="51" ht="18">
      <c r="A51" s="8"/>
    </row>
    <row r="52" ht="18">
      <c r="A52" s="8"/>
    </row>
    <row r="53" ht="18">
      <c r="A53" s="8"/>
    </row>
    <row r="56" spans="4:19" ht="12.75"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300"/>
      <c r="S56" s="143"/>
    </row>
  </sheetData>
  <sheetProtection/>
  <autoFilter ref="S4:S53"/>
  <mergeCells count="14">
    <mergeCell ref="A26:S26"/>
    <mergeCell ref="D4:D5"/>
    <mergeCell ref="E4:J4"/>
    <mergeCell ref="L4:N4"/>
    <mergeCell ref="K4:K5"/>
    <mergeCell ref="O4:Q4"/>
    <mergeCell ref="R4:R5"/>
    <mergeCell ref="A7:S7"/>
    <mergeCell ref="S4:S5"/>
    <mergeCell ref="A4:A5"/>
    <mergeCell ref="P1:Q1"/>
    <mergeCell ref="P2:S2"/>
    <mergeCell ref="B4:B5"/>
    <mergeCell ref="C4:C5"/>
  </mergeCells>
  <printOptions/>
  <pageMargins left="0.1968503937007874" right="0.1968503937007874" top="0.37" bottom="0.1968503937007874" header="0.1968503937007874" footer="0.1968503937007874"/>
  <pageSetup horizontalDpi="300" verticalDpi="300" orientation="landscape" paperSize="9" scale="65" r:id="rId1"/>
  <rowBreaks count="1" manualBreakCount="1">
    <brk id="43" max="17" man="1"/>
  </rowBreaks>
  <colBreaks count="1" manualBreakCount="1">
    <brk id="28" min="3" max="6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Y24"/>
  <sheetViews>
    <sheetView view="pageBreakPreview" zoomScale="84" zoomScaleNormal="75" zoomScaleSheetLayoutView="84" zoomScalePageLayoutView="0" workbookViewId="0" topLeftCell="K1">
      <pane ySplit="8" topLeftCell="BM9" activePane="bottomLeft" state="frozen"/>
      <selection pane="topLeft" activeCell="A1" sqref="A1"/>
      <selection pane="bottomLeft" activeCell="P1" sqref="P1:S2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44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0" customWidth="1"/>
    <col min="19" max="19" width="10.625" style="0" customWidth="1"/>
    <col min="20" max="20" width="11.375" style="0" customWidth="1"/>
    <col min="21" max="21" width="9.375" style="0" bestFit="1" customWidth="1"/>
    <col min="22" max="22" width="10.375" style="0" customWidth="1"/>
    <col min="23" max="23" width="9.375" style="0" bestFit="1" customWidth="1"/>
    <col min="24" max="24" width="10.50390625" style="0" customWidth="1"/>
  </cols>
  <sheetData>
    <row r="1" spans="16:19" ht="21" customHeight="1">
      <c r="P1" s="462" t="s">
        <v>194</v>
      </c>
      <c r="Q1" s="462"/>
      <c r="R1" s="404"/>
      <c r="S1" s="51"/>
    </row>
    <row r="2" spans="16:19" ht="44.25" customHeight="1">
      <c r="P2" s="462" t="s">
        <v>192</v>
      </c>
      <c r="Q2" s="462"/>
      <c r="R2" s="462"/>
      <c r="S2" s="462"/>
    </row>
    <row r="3" ht="12.75"/>
    <row r="4" spans="1:19" ht="25.5" customHeight="1">
      <c r="A4" s="457" t="s">
        <v>0</v>
      </c>
      <c r="B4" s="457" t="s">
        <v>1</v>
      </c>
      <c r="C4" s="457" t="s">
        <v>171</v>
      </c>
      <c r="D4" s="457" t="s">
        <v>97</v>
      </c>
      <c r="E4" s="450" t="s">
        <v>63</v>
      </c>
      <c r="F4" s="451"/>
      <c r="G4" s="451"/>
      <c r="H4" s="451"/>
      <c r="I4" s="451"/>
      <c r="J4" s="452"/>
      <c r="K4" s="455" t="s">
        <v>147</v>
      </c>
      <c r="L4" s="450" t="s">
        <v>64</v>
      </c>
      <c r="M4" s="451"/>
      <c r="N4" s="451"/>
      <c r="O4" s="450" t="s">
        <v>66</v>
      </c>
      <c r="P4" s="451"/>
      <c r="Q4" s="452"/>
      <c r="R4" s="457" t="s">
        <v>2</v>
      </c>
      <c r="S4" s="457" t="s">
        <v>3</v>
      </c>
    </row>
    <row r="5" spans="1:19" ht="79.5" customHeight="1">
      <c r="A5" s="458"/>
      <c r="B5" s="458"/>
      <c r="C5" s="458"/>
      <c r="D5" s="458"/>
      <c r="E5" s="37" t="s">
        <v>172</v>
      </c>
      <c r="F5" s="37" t="s">
        <v>175</v>
      </c>
      <c r="G5" s="37" t="s">
        <v>116</v>
      </c>
      <c r="H5" s="37" t="s">
        <v>183</v>
      </c>
      <c r="I5" s="37" t="s">
        <v>176</v>
      </c>
      <c r="J5" s="37" t="s">
        <v>184</v>
      </c>
      <c r="K5" s="456"/>
      <c r="L5" s="37" t="s">
        <v>177</v>
      </c>
      <c r="M5" s="37" t="s">
        <v>65</v>
      </c>
      <c r="N5" s="37" t="s">
        <v>61</v>
      </c>
      <c r="O5" s="37" t="s">
        <v>174</v>
      </c>
      <c r="P5" s="37" t="s">
        <v>100</v>
      </c>
      <c r="Q5" s="382" t="s">
        <v>185</v>
      </c>
      <c r="R5" s="458"/>
      <c r="S5" s="458"/>
    </row>
    <row r="6" spans="1:19" ht="12" customHeight="1">
      <c r="A6" s="301">
        <v>1</v>
      </c>
      <c r="B6" s="301">
        <v>2</v>
      </c>
      <c r="C6" s="302">
        <v>3</v>
      </c>
      <c r="D6" s="301">
        <v>4</v>
      </c>
      <c r="E6" s="301">
        <v>5</v>
      </c>
      <c r="F6" s="301">
        <v>6</v>
      </c>
      <c r="G6" s="301">
        <v>7</v>
      </c>
      <c r="H6" s="301">
        <v>8</v>
      </c>
      <c r="I6" s="301">
        <v>9</v>
      </c>
      <c r="J6" s="301">
        <v>10</v>
      </c>
      <c r="K6" s="301">
        <v>11</v>
      </c>
      <c r="L6" s="301">
        <v>12</v>
      </c>
      <c r="M6" s="301">
        <v>13</v>
      </c>
      <c r="N6" s="301">
        <v>14</v>
      </c>
      <c r="O6" s="301">
        <v>15</v>
      </c>
      <c r="P6" s="301">
        <v>16</v>
      </c>
      <c r="Q6" s="301">
        <v>17</v>
      </c>
      <c r="R6" s="301">
        <v>18</v>
      </c>
      <c r="S6" s="301">
        <v>19</v>
      </c>
    </row>
    <row r="7" spans="1:19" ht="19.5" customHeight="1">
      <c r="A7" s="464" t="s">
        <v>91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</row>
    <row r="8" spans="1:19" ht="12" customHeight="1">
      <c r="A8" s="38">
        <v>1</v>
      </c>
      <c r="B8" s="39">
        <v>2</v>
      </c>
      <c r="C8" s="133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40">
        <v>17</v>
      </c>
      <c r="R8" s="40">
        <v>18</v>
      </c>
      <c r="S8" s="40">
        <v>19</v>
      </c>
    </row>
    <row r="9" spans="1:19" s="12" customFormat="1" ht="19.5" customHeight="1">
      <c r="A9" s="279">
        <v>1</v>
      </c>
      <c r="B9" s="303" t="s">
        <v>98</v>
      </c>
      <c r="C9" s="304">
        <v>3</v>
      </c>
      <c r="D9" s="305">
        <f>7253</f>
        <v>7253</v>
      </c>
      <c r="E9" s="190"/>
      <c r="F9" s="306"/>
      <c r="G9" s="190"/>
      <c r="H9" s="190"/>
      <c r="I9" s="190"/>
      <c r="J9" s="190"/>
      <c r="K9" s="190">
        <f>SUM(D9:J9)</f>
        <v>7253</v>
      </c>
      <c r="L9" s="307"/>
      <c r="M9" s="190"/>
      <c r="N9" s="307">
        <f>K9*30%</f>
        <v>2175.9</v>
      </c>
      <c r="O9" s="190"/>
      <c r="P9" s="190"/>
      <c r="Q9" s="190">
        <f>60000-(D9+N9)*C9</f>
        <v>31713.300000000003</v>
      </c>
      <c r="R9" s="308">
        <f>SUM(K9:P9)*C9+Q9</f>
        <v>60000</v>
      </c>
      <c r="S9" s="309">
        <v>13</v>
      </c>
    </row>
    <row r="10" spans="1:19" s="12" customFormat="1" ht="19.5" customHeight="1">
      <c r="A10" s="279">
        <v>2</v>
      </c>
      <c r="B10" s="114" t="s">
        <v>107</v>
      </c>
      <c r="C10" s="121">
        <f>5-1+1-1</f>
        <v>4</v>
      </c>
      <c r="D10" s="190">
        <f>5815</f>
        <v>5815</v>
      </c>
      <c r="E10" s="191"/>
      <c r="F10" s="208"/>
      <c r="G10" s="305"/>
      <c r="H10" s="191"/>
      <c r="I10" s="191"/>
      <c r="J10" s="191"/>
      <c r="K10" s="190">
        <f>SUM(D10:J10)</f>
        <v>5815</v>
      </c>
      <c r="L10" s="310"/>
      <c r="M10" s="191"/>
      <c r="N10" s="310">
        <f>K10*30%</f>
        <v>1744.5</v>
      </c>
      <c r="O10" s="191"/>
      <c r="P10" s="191"/>
      <c r="Q10" s="190">
        <f>54000-(D10+N10)*C10</f>
        <v>23762</v>
      </c>
      <c r="R10" s="308">
        <f>SUM(K10:P10)*C10+Q10</f>
        <v>54000</v>
      </c>
      <c r="S10" s="193">
        <v>10</v>
      </c>
    </row>
    <row r="11" spans="1:19" s="12" customFormat="1" ht="19.5" customHeight="1">
      <c r="A11" s="279">
        <v>3</v>
      </c>
      <c r="B11" s="311" t="s">
        <v>8</v>
      </c>
      <c r="C11" s="312">
        <v>1</v>
      </c>
      <c r="D11" s="305">
        <f>7100*1</f>
        <v>7100</v>
      </c>
      <c r="E11" s="305"/>
      <c r="F11" s="305"/>
      <c r="G11" s="305"/>
      <c r="H11" s="305"/>
      <c r="I11" s="305"/>
      <c r="J11" s="305"/>
      <c r="K11" s="190">
        <f>SUM(D11:J11)</f>
        <v>7100</v>
      </c>
      <c r="L11" s="305"/>
      <c r="M11" s="305"/>
      <c r="N11" s="305"/>
      <c r="O11" s="305"/>
      <c r="P11" s="305">
        <f>3770*10%</f>
        <v>377</v>
      </c>
      <c r="Q11" s="190"/>
      <c r="R11" s="308">
        <f>SUM(K11:P11)*C11</f>
        <v>7477</v>
      </c>
      <c r="S11" s="313">
        <v>3</v>
      </c>
    </row>
    <row r="12" spans="1:19" s="12" customFormat="1" ht="19.5" customHeight="1">
      <c r="A12" s="279">
        <v>4</v>
      </c>
      <c r="B12" s="311" t="s">
        <v>68</v>
      </c>
      <c r="C12" s="312">
        <v>0.5</v>
      </c>
      <c r="D12" s="305">
        <f>7100*1.2</f>
        <v>8520</v>
      </c>
      <c r="E12" s="305"/>
      <c r="F12" s="305"/>
      <c r="G12" s="305"/>
      <c r="H12" s="305"/>
      <c r="I12" s="305"/>
      <c r="J12" s="305"/>
      <c r="K12" s="190">
        <f>SUM(D12:J12)</f>
        <v>8520</v>
      </c>
      <c r="L12" s="305"/>
      <c r="M12" s="305"/>
      <c r="N12" s="305"/>
      <c r="O12" s="305"/>
      <c r="P12" s="305"/>
      <c r="Q12" s="190"/>
      <c r="R12" s="308">
        <f>SUM(K12:P12)*C12</f>
        <v>4260</v>
      </c>
      <c r="S12" s="313">
        <v>4</v>
      </c>
    </row>
    <row r="13" spans="1:19" s="12" customFormat="1" ht="19.5" customHeight="1">
      <c r="A13" s="279"/>
      <c r="B13" s="311"/>
      <c r="C13" s="312"/>
      <c r="D13" s="305"/>
      <c r="E13" s="305"/>
      <c r="F13" s="305"/>
      <c r="G13" s="305"/>
      <c r="H13" s="305"/>
      <c r="I13" s="305"/>
      <c r="J13" s="305"/>
      <c r="K13" s="190"/>
      <c r="L13" s="305"/>
      <c r="M13" s="305"/>
      <c r="N13" s="305"/>
      <c r="O13" s="305"/>
      <c r="P13" s="305"/>
      <c r="Q13" s="190"/>
      <c r="R13" s="308"/>
      <c r="S13" s="313"/>
    </row>
    <row r="14" spans="1:25" ht="19.5" customHeight="1">
      <c r="A14" s="314"/>
      <c r="B14" s="83" t="s">
        <v>90</v>
      </c>
      <c r="C14" s="315">
        <f>C9+C10+C11+C12</f>
        <v>8.5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7">
        <f>R9+R10+R11+R12</f>
        <v>125737</v>
      </c>
      <c r="S14" s="313"/>
      <c r="T14" s="76"/>
      <c r="U14" s="76"/>
      <c r="V14" s="76"/>
      <c r="W14" s="76"/>
      <c r="X14" s="76"/>
      <c r="Y14" s="76"/>
    </row>
    <row r="15" spans="1:20" ht="19.5" customHeight="1">
      <c r="A15" s="318"/>
      <c r="B15" s="225" t="s">
        <v>12</v>
      </c>
      <c r="C15" s="315">
        <f>C9</f>
        <v>3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7">
        <f>R9</f>
        <v>60000</v>
      </c>
      <c r="S15" s="313"/>
      <c r="T15" s="12"/>
    </row>
    <row r="16" spans="1:20" ht="19.5" customHeight="1">
      <c r="A16" s="319"/>
      <c r="B16" s="225" t="s">
        <v>132</v>
      </c>
      <c r="C16" s="126">
        <f>C10</f>
        <v>4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227">
        <f>R10</f>
        <v>54000</v>
      </c>
      <c r="S16" s="320"/>
      <c r="T16" s="12"/>
    </row>
    <row r="17" spans="1:20" ht="19.5" customHeight="1">
      <c r="A17" s="318"/>
      <c r="B17" s="129" t="s">
        <v>13</v>
      </c>
      <c r="C17" s="175">
        <f>C11</f>
        <v>1</v>
      </c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176">
        <f>R11</f>
        <v>7477</v>
      </c>
      <c r="S17" s="193"/>
      <c r="T17" s="12"/>
    </row>
    <row r="18" spans="1:20" s="294" customFormat="1" ht="19.5" customHeight="1">
      <c r="A18" s="318"/>
      <c r="B18" s="129" t="s">
        <v>14</v>
      </c>
      <c r="C18" s="175">
        <f>C12</f>
        <v>0.5</v>
      </c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176">
        <f>R12</f>
        <v>4260</v>
      </c>
      <c r="S18" s="193"/>
      <c r="T18" s="387"/>
    </row>
    <row r="19" spans="1:20" ht="19.5" customHeight="1">
      <c r="A19" s="465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12"/>
    </row>
    <row r="20" spans="1:19" ht="18.75">
      <c r="A20" s="109"/>
      <c r="B20" s="107"/>
      <c r="C20" s="108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4" spans="4:22" ht="12.75"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9"/>
      <c r="V24" s="9"/>
    </row>
  </sheetData>
  <sheetProtection/>
  <autoFilter ref="S4:S20"/>
  <mergeCells count="14">
    <mergeCell ref="A19:S19"/>
    <mergeCell ref="E4:J4"/>
    <mergeCell ref="R4:R5"/>
    <mergeCell ref="S4:S5"/>
    <mergeCell ref="A4:A5"/>
    <mergeCell ref="B4:B5"/>
    <mergeCell ref="L4:N4"/>
    <mergeCell ref="K4:K5"/>
    <mergeCell ref="A7:S7"/>
    <mergeCell ref="C4:C5"/>
    <mergeCell ref="P1:Q1"/>
    <mergeCell ref="P2:S2"/>
    <mergeCell ref="D4:D5"/>
    <mergeCell ref="O4:Q4"/>
  </mergeCells>
  <printOptions/>
  <pageMargins left="0.2" right="0.15748031496062992" top="0.47" bottom="0.4724409448818898" header="0.17" footer="0.31496062992125984"/>
  <pageSetup orientation="landscape" paperSize="9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Y24"/>
  <sheetViews>
    <sheetView view="pageBreakPreview" zoomScale="80" zoomScaleNormal="75" zoomScaleSheetLayoutView="80" zoomScalePageLayoutView="0" workbookViewId="0" topLeftCell="K1">
      <selection activeCell="V18" sqref="V18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44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0" customWidth="1"/>
    <col min="19" max="19" width="10.625" style="0" customWidth="1"/>
    <col min="20" max="20" width="12.50390625" style="0" customWidth="1"/>
    <col min="22" max="22" width="12.625" style="0" customWidth="1"/>
    <col min="24" max="24" width="10.50390625" style="0" customWidth="1"/>
  </cols>
  <sheetData>
    <row r="1" spans="16:19" ht="13.5">
      <c r="P1" s="462" t="s">
        <v>195</v>
      </c>
      <c r="Q1" s="462"/>
      <c r="R1" s="404"/>
      <c r="S1" s="51"/>
    </row>
    <row r="2" spans="16:19" ht="45.75" customHeight="1">
      <c r="P2" s="462" t="s">
        <v>192</v>
      </c>
      <c r="Q2" s="462"/>
      <c r="R2" s="462"/>
      <c r="S2" s="462"/>
    </row>
    <row r="4" spans="1:19" ht="27" customHeight="1">
      <c r="A4" s="457" t="s">
        <v>0</v>
      </c>
      <c r="B4" s="457" t="s">
        <v>1</v>
      </c>
      <c r="C4" s="457" t="s">
        <v>171</v>
      </c>
      <c r="D4" s="457" t="s">
        <v>97</v>
      </c>
      <c r="E4" s="450" t="s">
        <v>63</v>
      </c>
      <c r="F4" s="451"/>
      <c r="G4" s="451"/>
      <c r="H4" s="451"/>
      <c r="I4" s="451"/>
      <c r="J4" s="452"/>
      <c r="K4" s="455" t="s">
        <v>147</v>
      </c>
      <c r="L4" s="450" t="s">
        <v>64</v>
      </c>
      <c r="M4" s="451"/>
      <c r="N4" s="451"/>
      <c r="O4" s="450" t="s">
        <v>66</v>
      </c>
      <c r="P4" s="451"/>
      <c r="Q4" s="452"/>
      <c r="R4" s="457" t="s">
        <v>2</v>
      </c>
      <c r="S4" s="457" t="s">
        <v>3</v>
      </c>
    </row>
    <row r="5" spans="1:19" ht="79.5" customHeight="1">
      <c r="A5" s="458"/>
      <c r="B5" s="458"/>
      <c r="C5" s="458"/>
      <c r="D5" s="458"/>
      <c r="E5" s="37" t="s">
        <v>172</v>
      </c>
      <c r="F5" s="37" t="s">
        <v>175</v>
      </c>
      <c r="G5" s="37" t="s">
        <v>116</v>
      </c>
      <c r="H5" s="37" t="s">
        <v>183</v>
      </c>
      <c r="I5" s="37" t="s">
        <v>176</v>
      </c>
      <c r="J5" s="37" t="s">
        <v>184</v>
      </c>
      <c r="K5" s="456"/>
      <c r="L5" s="37" t="s">
        <v>177</v>
      </c>
      <c r="M5" s="37" t="s">
        <v>65</v>
      </c>
      <c r="N5" s="37" t="s">
        <v>61</v>
      </c>
      <c r="O5" s="37" t="s">
        <v>174</v>
      </c>
      <c r="P5" s="37" t="s">
        <v>100</v>
      </c>
      <c r="Q5" s="382" t="s">
        <v>185</v>
      </c>
      <c r="R5" s="458"/>
      <c r="S5" s="458"/>
    </row>
    <row r="6" spans="1:19" ht="12" customHeight="1">
      <c r="A6" s="40">
        <v>1</v>
      </c>
      <c r="B6" s="40">
        <v>2</v>
      </c>
      <c r="C6" s="321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</row>
    <row r="7" spans="1:19" ht="19.5" customHeight="1">
      <c r="A7" s="464" t="s">
        <v>108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</row>
    <row r="8" spans="1:19" ht="12" customHeight="1">
      <c r="A8" s="40">
        <v>1</v>
      </c>
      <c r="B8" s="40">
        <v>2</v>
      </c>
      <c r="C8" s="321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</row>
    <row r="9" spans="1:20" ht="19.5" customHeight="1">
      <c r="A9" s="322">
        <v>1</v>
      </c>
      <c r="B9" s="323" t="s">
        <v>98</v>
      </c>
      <c r="C9" s="304">
        <f>2.5+0.5</f>
        <v>3</v>
      </c>
      <c r="D9" s="233">
        <f>7732</f>
        <v>7732</v>
      </c>
      <c r="E9" s="233"/>
      <c r="F9" s="170"/>
      <c r="G9" s="233"/>
      <c r="H9" s="233"/>
      <c r="I9" s="233"/>
      <c r="J9" s="233"/>
      <c r="K9" s="233">
        <f>SUM(D9:J9)</f>
        <v>7732</v>
      </c>
      <c r="L9" s="233"/>
      <c r="M9" s="233"/>
      <c r="N9" s="233">
        <f>K9*30%</f>
        <v>2319.6</v>
      </c>
      <c r="O9" s="233"/>
      <c r="P9" s="233"/>
      <c r="Q9" s="233">
        <f>60000-(D9+N9)*C9</f>
        <v>29845.199999999997</v>
      </c>
      <c r="R9" s="324">
        <f>SUM(K9:P9)*C9+Q9</f>
        <v>60000</v>
      </c>
      <c r="S9" s="309">
        <v>14</v>
      </c>
      <c r="T9" s="44"/>
    </row>
    <row r="10" spans="1:20" ht="19.5" customHeight="1">
      <c r="A10" s="322">
        <v>2</v>
      </c>
      <c r="B10" s="323" t="s">
        <v>71</v>
      </c>
      <c r="C10" s="304">
        <f>4-1</f>
        <v>3</v>
      </c>
      <c r="D10" s="231">
        <f>5815</f>
        <v>5815</v>
      </c>
      <c r="E10" s="233"/>
      <c r="F10" s="170"/>
      <c r="G10" s="233"/>
      <c r="H10" s="233"/>
      <c r="I10" s="233"/>
      <c r="J10" s="233"/>
      <c r="K10" s="233">
        <f>SUM(D10:J10)</f>
        <v>5815</v>
      </c>
      <c r="L10" s="233"/>
      <c r="M10" s="233"/>
      <c r="N10" s="231">
        <f>K10*30%</f>
        <v>1744.5</v>
      </c>
      <c r="O10" s="233"/>
      <c r="P10" s="233"/>
      <c r="Q10" s="233">
        <f>40500-(D10+N10)*C10</f>
        <v>17821.5</v>
      </c>
      <c r="R10" s="324">
        <f>SUM(K10:P10)*C10+Q10</f>
        <v>40500</v>
      </c>
      <c r="S10" s="309">
        <v>10</v>
      </c>
      <c r="T10" s="44"/>
    </row>
    <row r="11" spans="1:20" ht="19.5" customHeight="1">
      <c r="A11" s="322">
        <v>3</v>
      </c>
      <c r="B11" s="325" t="s">
        <v>99</v>
      </c>
      <c r="C11" s="304">
        <v>1</v>
      </c>
      <c r="D11" s="233">
        <f>7100*1</f>
        <v>7100</v>
      </c>
      <c r="E11" s="233"/>
      <c r="F11" s="233"/>
      <c r="G11" s="233"/>
      <c r="H11" s="233"/>
      <c r="I11" s="233"/>
      <c r="J11" s="233"/>
      <c r="K11" s="233">
        <f>SUM(D11:J11)</f>
        <v>7100</v>
      </c>
      <c r="L11" s="233"/>
      <c r="M11" s="233"/>
      <c r="N11" s="233"/>
      <c r="O11" s="233"/>
      <c r="P11" s="233">
        <f>3770*10%</f>
        <v>377</v>
      </c>
      <c r="Q11" s="233"/>
      <c r="R11" s="324">
        <f>SUM(K11:P11)*C11</f>
        <v>7477</v>
      </c>
      <c r="S11" s="309">
        <v>3</v>
      </c>
      <c r="T11" s="44"/>
    </row>
    <row r="12" spans="1:20" ht="19.5" customHeight="1">
      <c r="A12" s="322">
        <v>4</v>
      </c>
      <c r="B12" s="323" t="s">
        <v>74</v>
      </c>
      <c r="C12" s="304">
        <v>1</v>
      </c>
      <c r="D12" s="233">
        <f>7100*1</f>
        <v>7100</v>
      </c>
      <c r="E12" s="233"/>
      <c r="F12" s="233"/>
      <c r="G12" s="233"/>
      <c r="H12" s="233"/>
      <c r="I12" s="233"/>
      <c r="J12" s="233"/>
      <c r="K12" s="233">
        <f>SUM(D12:J12)</f>
        <v>7100</v>
      </c>
      <c r="L12" s="233"/>
      <c r="M12" s="233"/>
      <c r="N12" s="233"/>
      <c r="O12" s="233"/>
      <c r="P12" s="233"/>
      <c r="Q12" s="233"/>
      <c r="R12" s="324">
        <f>SUM(K12:P12)*C12</f>
        <v>7100</v>
      </c>
      <c r="S12" s="309">
        <v>3</v>
      </c>
      <c r="T12" s="44"/>
    </row>
    <row r="13" spans="1:20" ht="19.5" customHeight="1">
      <c r="A13" s="322">
        <v>5</v>
      </c>
      <c r="B13" s="323" t="s">
        <v>120</v>
      </c>
      <c r="C13" s="304">
        <v>0.5</v>
      </c>
      <c r="D13" s="233">
        <f>7100*1.2</f>
        <v>8520</v>
      </c>
      <c r="E13" s="233"/>
      <c r="F13" s="233"/>
      <c r="G13" s="233"/>
      <c r="H13" s="233"/>
      <c r="I13" s="233"/>
      <c r="J13" s="233"/>
      <c r="K13" s="233">
        <f>SUM(D13:J13)</f>
        <v>8520</v>
      </c>
      <c r="L13" s="233"/>
      <c r="M13" s="233"/>
      <c r="N13" s="233"/>
      <c r="O13" s="233"/>
      <c r="P13" s="233"/>
      <c r="Q13" s="233"/>
      <c r="R13" s="324">
        <f>SUM(K13:P13)*C13</f>
        <v>4260</v>
      </c>
      <c r="S13" s="309">
        <v>3</v>
      </c>
      <c r="T13" s="44"/>
    </row>
    <row r="14" spans="1:20" ht="19.5" customHeight="1">
      <c r="A14" s="322"/>
      <c r="B14" s="323"/>
      <c r="C14" s="326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324"/>
      <c r="S14" s="309"/>
      <c r="T14" s="44"/>
    </row>
    <row r="15" spans="1:25" ht="19.5" customHeight="1">
      <c r="A15" s="327"/>
      <c r="B15" s="328" t="s">
        <v>90</v>
      </c>
      <c r="C15" s="329">
        <f>SUM(C16:C19)</f>
        <v>8.5</v>
      </c>
      <c r="D15" s="330"/>
      <c r="E15" s="330"/>
      <c r="F15" s="330"/>
      <c r="G15" s="330"/>
      <c r="H15" s="330"/>
      <c r="I15" s="330"/>
      <c r="J15" s="330"/>
      <c r="K15" s="331"/>
      <c r="L15" s="330"/>
      <c r="M15" s="330"/>
      <c r="N15" s="330"/>
      <c r="O15" s="330"/>
      <c r="P15" s="330"/>
      <c r="Q15" s="330"/>
      <c r="R15" s="332">
        <f>SUM(R9:R13)</f>
        <v>119337</v>
      </c>
      <c r="S15" s="166"/>
      <c r="T15" s="87"/>
      <c r="U15" s="87"/>
      <c r="V15" s="87"/>
      <c r="W15" s="87"/>
      <c r="X15" s="87"/>
      <c r="Y15" s="42"/>
    </row>
    <row r="16" spans="1:20" ht="19.5" customHeight="1">
      <c r="A16" s="327"/>
      <c r="B16" s="225" t="s">
        <v>12</v>
      </c>
      <c r="C16" s="329">
        <f>SUM(C9:C9)</f>
        <v>3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2">
        <f>SUM(R9:R9)</f>
        <v>60000</v>
      </c>
      <c r="S16" s="166"/>
      <c r="T16" s="44"/>
    </row>
    <row r="17" spans="1:20" ht="19.5" customHeight="1">
      <c r="A17" s="327"/>
      <c r="B17" s="225" t="s">
        <v>132</v>
      </c>
      <c r="C17" s="329">
        <f>SUM(C10:C10)</f>
        <v>3</v>
      </c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2">
        <f>SUM(R10:R10)</f>
        <v>40500</v>
      </c>
      <c r="S17" s="166"/>
      <c r="T17" s="44"/>
    </row>
    <row r="18" spans="1:20" ht="19.5" customHeight="1">
      <c r="A18" s="327"/>
      <c r="B18" s="225" t="s">
        <v>13</v>
      </c>
      <c r="C18" s="329">
        <f>C11</f>
        <v>1</v>
      </c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2">
        <f>SUM(R11)</f>
        <v>7477</v>
      </c>
      <c r="S18" s="166"/>
      <c r="T18" s="44"/>
    </row>
    <row r="19" spans="1:20" ht="19.5" customHeight="1">
      <c r="A19" s="327"/>
      <c r="B19" s="225" t="s">
        <v>14</v>
      </c>
      <c r="C19" s="329">
        <f>C12+C13</f>
        <v>1.5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2">
        <f>R12+R13</f>
        <v>11360</v>
      </c>
      <c r="S19" s="166"/>
      <c r="T19" s="44"/>
    </row>
    <row r="20" spans="1:19" ht="19.5" customHeight="1">
      <c r="A20" s="333"/>
      <c r="B20" s="333"/>
      <c r="C20" s="334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</row>
    <row r="21" spans="1:19" ht="19.5" customHeight="1">
      <c r="A21" s="16"/>
      <c r="B21" s="16"/>
      <c r="C21" s="99"/>
      <c r="D21" s="103"/>
      <c r="E21" s="103"/>
      <c r="F21" s="103"/>
      <c r="G21" s="100"/>
      <c r="H21" s="100"/>
      <c r="I21" s="100"/>
      <c r="J21" s="100"/>
      <c r="K21" s="100"/>
      <c r="L21" s="100"/>
      <c r="M21" s="100"/>
      <c r="N21" s="467"/>
      <c r="O21" s="467"/>
      <c r="P21" s="467"/>
      <c r="Q21" s="100"/>
      <c r="R21" s="16"/>
      <c r="S21" s="16"/>
    </row>
    <row r="23" spans="4:19" ht="12.75"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</row>
    <row r="24" spans="4:19" ht="12.75"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</row>
  </sheetData>
  <sheetProtection/>
  <autoFilter ref="S4:S21"/>
  <mergeCells count="14">
    <mergeCell ref="N21:P21"/>
    <mergeCell ref="R4:R5"/>
    <mergeCell ref="S4:S5"/>
    <mergeCell ref="E4:J4"/>
    <mergeCell ref="K4:K5"/>
    <mergeCell ref="L4:N4"/>
    <mergeCell ref="A7:S7"/>
    <mergeCell ref="O4:Q4"/>
    <mergeCell ref="A4:A5"/>
    <mergeCell ref="B4:B5"/>
    <mergeCell ref="C4:C5"/>
    <mergeCell ref="D4:D5"/>
    <mergeCell ref="P1:Q1"/>
    <mergeCell ref="P2:S2"/>
  </mergeCells>
  <printOptions/>
  <pageMargins left="0.2362204724409449" right="0.15748031496062992" top="0.43" bottom="0.31496062992125984" header="0.15748031496062992" footer="0.15748031496062992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AA25"/>
  <sheetViews>
    <sheetView view="pageBreakPreview" zoomScale="80" zoomScaleNormal="75" zoomScaleSheetLayoutView="80" zoomScalePageLayoutView="0" workbookViewId="0" topLeftCell="M1">
      <selection activeCell="P1" sqref="P1:S2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0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0" customWidth="1"/>
    <col min="19" max="19" width="10.625" style="0" customWidth="1"/>
    <col min="20" max="20" width="13.00390625" style="0" customWidth="1"/>
    <col min="21" max="21" width="9.375" style="0" bestFit="1" customWidth="1"/>
    <col min="22" max="22" width="9.875" style="0" bestFit="1" customWidth="1"/>
    <col min="23" max="23" width="11.50390625" style="0" bestFit="1" customWidth="1"/>
    <col min="24" max="24" width="9.875" style="0" bestFit="1" customWidth="1"/>
    <col min="25" max="25" width="11.50390625" style="0" bestFit="1" customWidth="1"/>
    <col min="26" max="26" width="10.50390625" style="0" customWidth="1"/>
  </cols>
  <sheetData>
    <row r="1" spans="16:19" ht="13.5">
      <c r="P1" s="462" t="s">
        <v>196</v>
      </c>
      <c r="Q1" s="462"/>
      <c r="R1" s="404"/>
      <c r="S1" s="51"/>
    </row>
    <row r="2" spans="16:19" ht="42" customHeight="1">
      <c r="P2" s="462" t="s">
        <v>192</v>
      </c>
      <c r="Q2" s="462"/>
      <c r="R2" s="462"/>
      <c r="S2" s="462"/>
    </row>
    <row r="4" spans="1:19" ht="22.5" customHeight="1">
      <c r="A4" s="457" t="s">
        <v>0</v>
      </c>
      <c r="B4" s="457" t="s">
        <v>1</v>
      </c>
      <c r="C4" s="457" t="s">
        <v>171</v>
      </c>
      <c r="D4" s="457" t="s">
        <v>97</v>
      </c>
      <c r="E4" s="450" t="s">
        <v>63</v>
      </c>
      <c r="F4" s="451"/>
      <c r="G4" s="451"/>
      <c r="H4" s="451"/>
      <c r="I4" s="451"/>
      <c r="J4" s="452"/>
      <c r="K4" s="455" t="s">
        <v>147</v>
      </c>
      <c r="L4" s="450" t="s">
        <v>64</v>
      </c>
      <c r="M4" s="451"/>
      <c r="N4" s="451"/>
      <c r="O4" s="450" t="s">
        <v>66</v>
      </c>
      <c r="P4" s="451"/>
      <c r="Q4" s="452"/>
      <c r="R4" s="457" t="s">
        <v>2</v>
      </c>
      <c r="S4" s="457" t="s">
        <v>3</v>
      </c>
    </row>
    <row r="5" spans="1:19" ht="79.5" customHeight="1">
      <c r="A5" s="458"/>
      <c r="B5" s="458"/>
      <c r="C5" s="458"/>
      <c r="D5" s="458"/>
      <c r="E5" s="37" t="s">
        <v>172</v>
      </c>
      <c r="F5" s="37" t="s">
        <v>175</v>
      </c>
      <c r="G5" s="37" t="s">
        <v>116</v>
      </c>
      <c r="H5" s="37" t="s">
        <v>183</v>
      </c>
      <c r="I5" s="37" t="s">
        <v>176</v>
      </c>
      <c r="J5" s="37" t="s">
        <v>184</v>
      </c>
      <c r="K5" s="456"/>
      <c r="L5" s="37" t="s">
        <v>177</v>
      </c>
      <c r="M5" s="37" t="s">
        <v>65</v>
      </c>
      <c r="N5" s="37" t="s">
        <v>61</v>
      </c>
      <c r="O5" s="37" t="s">
        <v>174</v>
      </c>
      <c r="P5" s="37" t="s">
        <v>100</v>
      </c>
      <c r="Q5" s="382" t="s">
        <v>185</v>
      </c>
      <c r="R5" s="458"/>
      <c r="S5" s="458"/>
    </row>
    <row r="6" spans="1:27" ht="12" customHeight="1">
      <c r="A6" s="40">
        <v>1</v>
      </c>
      <c r="B6" s="40">
        <v>2</v>
      </c>
      <c r="C6" s="321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Y6" s="15"/>
      <c r="Z6" s="15"/>
      <c r="AA6" s="15"/>
    </row>
    <row r="7" spans="1:27" ht="19.5" customHeight="1">
      <c r="A7" s="464" t="s">
        <v>92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Y7" s="15"/>
      <c r="Z7" s="15"/>
      <c r="AA7" s="15"/>
    </row>
    <row r="8" spans="1:27" ht="12" customHeight="1">
      <c r="A8" s="336">
        <v>1</v>
      </c>
      <c r="B8" s="337">
        <v>2</v>
      </c>
      <c r="C8" s="337">
        <v>3</v>
      </c>
      <c r="D8" s="337">
        <v>4</v>
      </c>
      <c r="E8" s="337">
        <v>5</v>
      </c>
      <c r="F8" s="337">
        <v>6</v>
      </c>
      <c r="G8" s="337">
        <v>7</v>
      </c>
      <c r="H8" s="337">
        <v>8</v>
      </c>
      <c r="I8" s="337">
        <v>9</v>
      </c>
      <c r="J8" s="337">
        <v>10</v>
      </c>
      <c r="K8" s="337">
        <v>11</v>
      </c>
      <c r="L8" s="337">
        <v>12</v>
      </c>
      <c r="M8" s="337">
        <v>13</v>
      </c>
      <c r="N8" s="337">
        <v>14</v>
      </c>
      <c r="O8" s="337">
        <v>15</v>
      </c>
      <c r="P8" s="337">
        <v>16</v>
      </c>
      <c r="Q8" s="337">
        <v>17</v>
      </c>
      <c r="R8" s="337">
        <v>18</v>
      </c>
      <c r="S8" s="337">
        <v>19</v>
      </c>
      <c r="Y8" s="15"/>
      <c r="Z8" s="15"/>
      <c r="AA8" s="15"/>
    </row>
    <row r="9" spans="1:27" s="12" customFormat="1" ht="19.5" customHeight="1">
      <c r="A9" s="338">
        <v>1</v>
      </c>
      <c r="B9" s="303" t="s">
        <v>98</v>
      </c>
      <c r="C9" s="339">
        <v>3</v>
      </c>
      <c r="D9" s="190">
        <f>7253</f>
        <v>7253</v>
      </c>
      <c r="E9" s="190"/>
      <c r="F9" s="306"/>
      <c r="G9" s="190"/>
      <c r="H9" s="190"/>
      <c r="I9" s="190"/>
      <c r="J9" s="190"/>
      <c r="K9" s="190">
        <f>SUM(D9:J9)</f>
        <v>7253</v>
      </c>
      <c r="L9" s="190"/>
      <c r="M9" s="190"/>
      <c r="N9" s="190">
        <f>K9*30%</f>
        <v>2175.9</v>
      </c>
      <c r="O9" s="190"/>
      <c r="P9" s="190"/>
      <c r="Q9" s="190">
        <f>60000-(K9+N9)*C9</f>
        <v>31713.300000000003</v>
      </c>
      <c r="R9" s="308">
        <f>SUM(K9:P9)*C9+Q9</f>
        <v>60000</v>
      </c>
      <c r="S9" s="320">
        <v>13</v>
      </c>
      <c r="T9" s="21"/>
      <c r="U9" s="21"/>
      <c r="V9" s="21"/>
      <c r="W9" s="21"/>
      <c r="X9" s="21"/>
      <c r="Y9" s="21"/>
      <c r="Z9" s="21"/>
      <c r="AA9" s="21"/>
    </row>
    <row r="10" spans="1:27" s="12" customFormat="1" ht="19.5" customHeight="1">
      <c r="A10" s="338">
        <v>2</v>
      </c>
      <c r="B10" s="303" t="s">
        <v>71</v>
      </c>
      <c r="C10" s="339">
        <f>3+1-1</f>
        <v>3</v>
      </c>
      <c r="D10" s="190">
        <f>5815</f>
        <v>5815</v>
      </c>
      <c r="E10" s="190"/>
      <c r="F10" s="306"/>
      <c r="G10" s="190"/>
      <c r="H10" s="190"/>
      <c r="I10" s="190"/>
      <c r="J10" s="190"/>
      <c r="K10" s="190">
        <f>SUM(D10:J10)</f>
        <v>5815</v>
      </c>
      <c r="L10" s="190"/>
      <c r="M10" s="190"/>
      <c r="N10" s="190">
        <f>K10*30%</f>
        <v>1744.5</v>
      </c>
      <c r="O10" s="190"/>
      <c r="P10" s="190"/>
      <c r="Q10" s="190">
        <f>40500-(K10+N10)*C10</f>
        <v>17821.5</v>
      </c>
      <c r="R10" s="308">
        <f>SUM(K10:P10)*C10+Q10</f>
        <v>40500</v>
      </c>
      <c r="S10" s="320">
        <v>10</v>
      </c>
      <c r="T10" s="21"/>
      <c r="U10" s="21"/>
      <c r="V10" s="21"/>
      <c r="W10" s="21"/>
      <c r="X10" s="21"/>
      <c r="Y10" s="21"/>
      <c r="Z10" s="21"/>
      <c r="AA10" s="21"/>
    </row>
    <row r="11" spans="1:27" s="12" customFormat="1" ht="19.5" customHeight="1">
      <c r="A11" s="338">
        <v>3</v>
      </c>
      <c r="B11" s="311" t="s">
        <v>99</v>
      </c>
      <c r="C11" s="339">
        <v>1</v>
      </c>
      <c r="D11" s="190">
        <f>7100*1</f>
        <v>7100</v>
      </c>
      <c r="E11" s="190"/>
      <c r="F11" s="190"/>
      <c r="G11" s="190"/>
      <c r="H11" s="190"/>
      <c r="I11" s="190"/>
      <c r="J11" s="190"/>
      <c r="K11" s="190">
        <f>SUM(D11:J11)</f>
        <v>7100</v>
      </c>
      <c r="L11" s="190"/>
      <c r="M11" s="190"/>
      <c r="N11" s="190"/>
      <c r="O11" s="190"/>
      <c r="P11" s="190">
        <f>3770*10%</f>
        <v>377</v>
      </c>
      <c r="Q11" s="190"/>
      <c r="R11" s="308">
        <f>SUM(K11:P11)*C11</f>
        <v>7477</v>
      </c>
      <c r="S11" s="320">
        <v>3</v>
      </c>
      <c r="T11" s="21"/>
      <c r="U11" s="21"/>
      <c r="V11" s="21"/>
      <c r="W11" s="21"/>
      <c r="X11" s="21"/>
      <c r="Y11" s="21"/>
      <c r="Z11" s="21"/>
      <c r="AA11" s="21"/>
    </row>
    <row r="12" spans="1:27" s="12" customFormat="1" ht="19.5" customHeight="1">
      <c r="A12" s="338">
        <v>4</v>
      </c>
      <c r="B12" s="303" t="s">
        <v>119</v>
      </c>
      <c r="C12" s="339">
        <v>0.5</v>
      </c>
      <c r="D12" s="190">
        <f>7100*1.2</f>
        <v>8520</v>
      </c>
      <c r="E12" s="190"/>
      <c r="F12" s="190"/>
      <c r="G12" s="190"/>
      <c r="H12" s="190"/>
      <c r="I12" s="190"/>
      <c r="J12" s="190"/>
      <c r="K12" s="190">
        <f>SUM(D12:J12)</f>
        <v>8520</v>
      </c>
      <c r="L12" s="190"/>
      <c r="M12" s="190"/>
      <c r="N12" s="190"/>
      <c r="O12" s="190"/>
      <c r="P12" s="190"/>
      <c r="Q12" s="190"/>
      <c r="R12" s="308">
        <f>SUM(K12:P12)*C12</f>
        <v>4260</v>
      </c>
      <c r="S12" s="320">
        <v>4</v>
      </c>
      <c r="T12" s="21"/>
      <c r="U12" s="21"/>
      <c r="V12" s="21"/>
      <c r="W12" s="21"/>
      <c r="X12" s="21"/>
      <c r="Y12" s="21"/>
      <c r="Z12" s="21"/>
      <c r="AA12" s="21"/>
    </row>
    <row r="13" spans="1:27" s="12" customFormat="1" ht="19.5" customHeight="1">
      <c r="A13" s="338">
        <v>5</v>
      </c>
      <c r="B13" s="303" t="s">
        <v>89</v>
      </c>
      <c r="C13" s="339">
        <f>2.5-0.5-1</f>
        <v>1</v>
      </c>
      <c r="D13" s="233">
        <f>7100*1</f>
        <v>7100</v>
      </c>
      <c r="E13" s="190"/>
      <c r="F13" s="190"/>
      <c r="G13" s="190"/>
      <c r="H13" s="190"/>
      <c r="I13" s="190"/>
      <c r="J13" s="190"/>
      <c r="K13" s="190">
        <f>SUM(D13:J13)</f>
        <v>7100</v>
      </c>
      <c r="L13" s="190"/>
      <c r="M13" s="190"/>
      <c r="N13" s="190"/>
      <c r="O13" s="190"/>
      <c r="P13" s="190"/>
      <c r="Q13" s="190"/>
      <c r="R13" s="308">
        <f>SUM(K13:P13)*C13</f>
        <v>7100</v>
      </c>
      <c r="S13" s="320">
        <v>3</v>
      </c>
      <c r="T13" s="21"/>
      <c r="U13" s="21"/>
      <c r="V13" s="21"/>
      <c r="W13" s="21"/>
      <c r="X13" s="21"/>
      <c r="Y13" s="21"/>
      <c r="Z13" s="21"/>
      <c r="AA13" s="21"/>
    </row>
    <row r="14" spans="1:27" s="12" customFormat="1" ht="19.5" customHeight="1">
      <c r="A14" s="338"/>
      <c r="B14" s="303"/>
      <c r="C14" s="34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308"/>
      <c r="S14" s="320"/>
      <c r="T14" s="21"/>
      <c r="U14" s="21"/>
      <c r="V14" s="21"/>
      <c r="W14" s="21"/>
      <c r="X14" s="21"/>
      <c r="Y14" s="21"/>
      <c r="Z14" s="21"/>
      <c r="AA14" s="21"/>
    </row>
    <row r="15" spans="1:27" s="12" customFormat="1" ht="19.5" customHeight="1">
      <c r="A15" s="341"/>
      <c r="B15" s="129" t="s">
        <v>90</v>
      </c>
      <c r="C15" s="175">
        <f>SUM(C16:C19)</f>
        <v>8.5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3">
        <f>R9+R10+R11+R12+R13</f>
        <v>119337</v>
      </c>
      <c r="S15" s="193"/>
      <c r="T15" s="88"/>
      <c r="U15" s="88"/>
      <c r="V15" s="88"/>
      <c r="W15" s="88"/>
      <c r="X15" s="88"/>
      <c r="Y15" s="88"/>
      <c r="Z15" s="88"/>
      <c r="AA15" s="21"/>
    </row>
    <row r="16" spans="1:27" s="12" customFormat="1" ht="19.5" customHeight="1">
      <c r="A16" s="341"/>
      <c r="B16" s="225" t="s">
        <v>12</v>
      </c>
      <c r="C16" s="175">
        <f>SUM(C9:C9)</f>
        <v>3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3">
        <f>SUM(R9:R9)</f>
        <v>60000</v>
      </c>
      <c r="S16" s="193"/>
      <c r="T16" s="21"/>
      <c r="U16" s="21"/>
      <c r="V16" s="21"/>
      <c r="W16" s="21"/>
      <c r="X16" s="21"/>
      <c r="Y16" s="21"/>
      <c r="Z16" s="21"/>
      <c r="AA16" s="21"/>
    </row>
    <row r="17" spans="1:27" s="12" customFormat="1" ht="19.5" customHeight="1">
      <c r="A17" s="341"/>
      <c r="B17" s="225" t="s">
        <v>132</v>
      </c>
      <c r="C17" s="175">
        <f>SUM(C10:C10)</f>
        <v>3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3">
        <f>R10</f>
        <v>40500</v>
      </c>
      <c r="S17" s="193"/>
      <c r="T17" s="21"/>
      <c r="U17" s="21"/>
      <c r="V17" s="21"/>
      <c r="W17" s="21"/>
      <c r="X17" s="21"/>
      <c r="Y17" s="21"/>
      <c r="Z17" s="21"/>
      <c r="AA17" s="21"/>
    </row>
    <row r="18" spans="1:27" s="12" customFormat="1" ht="19.5" customHeight="1">
      <c r="A18" s="341"/>
      <c r="B18" s="225" t="s">
        <v>13</v>
      </c>
      <c r="C18" s="175">
        <f>C11</f>
        <v>1</v>
      </c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3">
        <f>R11</f>
        <v>7477</v>
      </c>
      <c r="S18" s="193"/>
      <c r="T18" s="21"/>
      <c r="U18" s="21"/>
      <c r="V18" s="21"/>
      <c r="W18" s="21"/>
      <c r="X18" s="21"/>
      <c r="Y18" s="21"/>
      <c r="Z18" s="21"/>
      <c r="AA18" s="21"/>
    </row>
    <row r="19" spans="1:27" s="12" customFormat="1" ht="19.5" customHeight="1">
      <c r="A19" s="341"/>
      <c r="B19" s="225" t="s">
        <v>14</v>
      </c>
      <c r="C19" s="175">
        <f>C12+C13</f>
        <v>1.5</v>
      </c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3">
        <f>SUM(R12:R13)</f>
        <v>11360</v>
      </c>
      <c r="S19" s="193"/>
      <c r="T19" s="21"/>
      <c r="U19" s="24"/>
      <c r="V19" s="24"/>
      <c r="W19" s="24"/>
      <c r="X19" s="24"/>
      <c r="Y19" s="24"/>
      <c r="Z19" s="24"/>
      <c r="AA19" s="24"/>
    </row>
    <row r="20" ht="19.5" customHeight="1"/>
    <row r="21" spans="5:14" ht="19.5" customHeight="1">
      <c r="E21" s="102"/>
      <c r="F21" s="101"/>
      <c r="G21" s="102"/>
      <c r="H21" s="102"/>
      <c r="I21" s="102"/>
      <c r="J21" s="102"/>
      <c r="K21" s="102"/>
      <c r="L21" s="101"/>
      <c r="M21" s="101"/>
      <c r="N21" s="102"/>
    </row>
    <row r="25" spans="4:20" ht="12.75"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</row>
  </sheetData>
  <sheetProtection/>
  <autoFilter ref="S4:S21"/>
  <mergeCells count="13">
    <mergeCell ref="A7:S7"/>
    <mergeCell ref="A4:A5"/>
    <mergeCell ref="B4:B5"/>
    <mergeCell ref="C4:C5"/>
    <mergeCell ref="D4:D5"/>
    <mergeCell ref="O4:Q4"/>
    <mergeCell ref="R4:R5"/>
    <mergeCell ref="S4:S5"/>
    <mergeCell ref="E4:J4"/>
    <mergeCell ref="K4:K5"/>
    <mergeCell ref="P1:Q1"/>
    <mergeCell ref="P2:S2"/>
    <mergeCell ref="L4:N4"/>
  </mergeCells>
  <printOptions/>
  <pageMargins left="0.1968503937007874" right="0.1968503937007874" top="0.47" bottom="0.1968503937007874" header="0.5" footer="0.5118110236220472"/>
  <pageSetup orientation="landscape" paperSize="9" scale="66" r:id="rId1"/>
  <colBreaks count="1" manualBreakCount="1">
    <brk id="19" min="3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9966"/>
  </sheetPr>
  <dimension ref="A1:Y28"/>
  <sheetViews>
    <sheetView view="pageBreakPreview" zoomScale="80" zoomScaleNormal="75" zoomScaleSheetLayoutView="80" zoomScalePageLayoutView="0" workbookViewId="0" topLeftCell="K1">
      <selection activeCell="P1" sqref="P1:S2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0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0" customWidth="1"/>
    <col min="19" max="19" width="10.625" style="0" customWidth="1"/>
    <col min="20" max="20" width="9.375" style="0" bestFit="1" customWidth="1"/>
    <col min="22" max="22" width="20.50390625" style="0" customWidth="1"/>
  </cols>
  <sheetData>
    <row r="1" spans="16:19" ht="13.5">
      <c r="P1" s="462" t="s">
        <v>197</v>
      </c>
      <c r="Q1" s="462"/>
      <c r="R1" s="404"/>
      <c r="S1" s="51"/>
    </row>
    <row r="2" spans="16:19" ht="48" customHeight="1">
      <c r="P2" s="462" t="s">
        <v>192</v>
      </c>
      <c r="Q2" s="462"/>
      <c r="R2" s="462"/>
      <c r="S2" s="462"/>
    </row>
    <row r="4" spans="1:19" ht="15" customHeight="1">
      <c r="A4" s="457" t="s">
        <v>0</v>
      </c>
      <c r="B4" s="457" t="s">
        <v>1</v>
      </c>
      <c r="C4" s="457" t="s">
        <v>171</v>
      </c>
      <c r="D4" s="457" t="s">
        <v>97</v>
      </c>
      <c r="E4" s="450" t="s">
        <v>63</v>
      </c>
      <c r="F4" s="451"/>
      <c r="G4" s="451"/>
      <c r="H4" s="451"/>
      <c r="I4" s="451"/>
      <c r="J4" s="452"/>
      <c r="K4" s="455" t="s">
        <v>147</v>
      </c>
      <c r="L4" s="450" t="s">
        <v>64</v>
      </c>
      <c r="M4" s="451"/>
      <c r="N4" s="451"/>
      <c r="O4" s="450" t="s">
        <v>66</v>
      </c>
      <c r="P4" s="451"/>
      <c r="Q4" s="452"/>
      <c r="R4" s="457" t="s">
        <v>2</v>
      </c>
      <c r="S4" s="457" t="s">
        <v>3</v>
      </c>
    </row>
    <row r="5" spans="1:19" ht="79.5" customHeight="1">
      <c r="A5" s="458"/>
      <c r="B5" s="458"/>
      <c r="C5" s="458"/>
      <c r="D5" s="458"/>
      <c r="E5" s="37" t="s">
        <v>172</v>
      </c>
      <c r="F5" s="37" t="s">
        <v>175</v>
      </c>
      <c r="G5" s="37" t="s">
        <v>116</v>
      </c>
      <c r="H5" s="37" t="s">
        <v>183</v>
      </c>
      <c r="I5" s="37" t="s">
        <v>176</v>
      </c>
      <c r="J5" s="37" t="s">
        <v>184</v>
      </c>
      <c r="K5" s="456"/>
      <c r="L5" s="37" t="s">
        <v>177</v>
      </c>
      <c r="M5" s="37" t="s">
        <v>65</v>
      </c>
      <c r="N5" s="37" t="s">
        <v>61</v>
      </c>
      <c r="O5" s="37" t="s">
        <v>174</v>
      </c>
      <c r="P5" s="37" t="s">
        <v>100</v>
      </c>
      <c r="Q5" s="382" t="s">
        <v>185</v>
      </c>
      <c r="R5" s="458"/>
      <c r="S5" s="458"/>
    </row>
    <row r="6" spans="1:24" ht="12" customHeight="1">
      <c r="A6" s="40">
        <v>1</v>
      </c>
      <c r="B6" s="40">
        <v>2</v>
      </c>
      <c r="C6" s="321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X6" s="15"/>
    </row>
    <row r="7" spans="1:24" ht="19.5" customHeight="1">
      <c r="A7" s="464" t="s">
        <v>93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X7" s="15"/>
    </row>
    <row r="8" spans="1:24" ht="12" customHeight="1">
      <c r="A8" s="40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X8" s="15"/>
    </row>
    <row r="9" spans="1:25" ht="19.5" customHeight="1">
      <c r="A9" s="338">
        <v>1</v>
      </c>
      <c r="B9" s="344" t="s">
        <v>101</v>
      </c>
      <c r="C9" s="339"/>
      <c r="D9" s="190">
        <f>7253</f>
        <v>7253</v>
      </c>
      <c r="E9" s="190"/>
      <c r="F9" s="306"/>
      <c r="G9" s="191"/>
      <c r="H9" s="191"/>
      <c r="I9" s="190"/>
      <c r="J9" s="190"/>
      <c r="K9" s="190">
        <f>SUM(D9:J9)</f>
        <v>7253</v>
      </c>
      <c r="L9" s="190"/>
      <c r="M9" s="190"/>
      <c r="N9" s="190">
        <f>K9*30%</f>
        <v>2175.9</v>
      </c>
      <c r="O9" s="190"/>
      <c r="P9" s="190"/>
      <c r="Q9" s="190">
        <f>20000-(K9+N9)*1</f>
        <v>10571.1</v>
      </c>
      <c r="R9" s="308">
        <f>SUM(K9:P9)*1+Q9</f>
        <v>20000</v>
      </c>
      <c r="S9" s="320">
        <v>13</v>
      </c>
      <c r="T9" s="52"/>
      <c r="U9" s="52"/>
      <c r="V9" s="52"/>
      <c r="W9" s="52"/>
      <c r="X9" s="52"/>
      <c r="Y9" s="52"/>
    </row>
    <row r="10" spans="1:25" ht="19.5" customHeight="1">
      <c r="A10" s="338">
        <v>2</v>
      </c>
      <c r="B10" s="303" t="s">
        <v>71</v>
      </c>
      <c r="C10" s="339">
        <v>1</v>
      </c>
      <c r="D10" s="190">
        <f>4920</f>
        <v>4920</v>
      </c>
      <c r="E10" s="190"/>
      <c r="F10" s="190"/>
      <c r="G10" s="190"/>
      <c r="H10" s="190"/>
      <c r="I10" s="190"/>
      <c r="J10" s="190"/>
      <c r="K10" s="190">
        <f>SUM(D10:J10)</f>
        <v>4920</v>
      </c>
      <c r="L10" s="190"/>
      <c r="M10" s="190"/>
      <c r="N10" s="190">
        <f>K10*10%</f>
        <v>492</v>
      </c>
      <c r="O10" s="190"/>
      <c r="P10" s="190"/>
      <c r="Q10" s="190">
        <f>13500-(D10+N10)*C10</f>
        <v>8088</v>
      </c>
      <c r="R10" s="308">
        <f>SUM(K10:P10)*C10+Q10</f>
        <v>13500</v>
      </c>
      <c r="S10" s="320">
        <v>7</v>
      </c>
      <c r="T10" s="52"/>
      <c r="U10" s="52"/>
      <c r="V10" s="52"/>
      <c r="W10" s="52"/>
      <c r="X10" s="52"/>
      <c r="Y10" s="52"/>
    </row>
    <row r="11" spans="1:25" ht="19.5" customHeight="1">
      <c r="A11" s="338">
        <v>3</v>
      </c>
      <c r="B11" s="311" t="s">
        <v>99</v>
      </c>
      <c r="C11" s="339">
        <v>0.5</v>
      </c>
      <c r="D11" s="190">
        <f>7100*1</f>
        <v>7100</v>
      </c>
      <c r="E11" s="190"/>
      <c r="F11" s="190"/>
      <c r="G11" s="190"/>
      <c r="H11" s="190"/>
      <c r="I11" s="190"/>
      <c r="J11" s="190"/>
      <c r="K11" s="190">
        <f>SUM(D11:J11)</f>
        <v>7100</v>
      </c>
      <c r="L11" s="190"/>
      <c r="M11" s="190"/>
      <c r="N11" s="190"/>
      <c r="O11" s="190"/>
      <c r="P11" s="190">
        <f>3770*10%</f>
        <v>377</v>
      </c>
      <c r="Q11" s="190"/>
      <c r="R11" s="308">
        <f>SUM(K11:P11)*C11</f>
        <v>3738.5</v>
      </c>
      <c r="S11" s="320">
        <v>3</v>
      </c>
      <c r="T11" s="52"/>
      <c r="U11" s="52"/>
      <c r="V11" s="52"/>
      <c r="W11" s="52"/>
      <c r="X11" s="52"/>
      <c r="Y11" s="52"/>
    </row>
    <row r="12" spans="1:25" ht="19.5" customHeight="1">
      <c r="A12" s="338">
        <v>4</v>
      </c>
      <c r="B12" s="303" t="s">
        <v>120</v>
      </c>
      <c r="C12" s="339">
        <v>0.5</v>
      </c>
      <c r="D12" s="190">
        <f>7100*1.2</f>
        <v>8520</v>
      </c>
      <c r="E12" s="190"/>
      <c r="F12" s="190"/>
      <c r="G12" s="190"/>
      <c r="H12" s="190"/>
      <c r="I12" s="345"/>
      <c r="J12" s="190"/>
      <c r="K12" s="190">
        <f>SUM(D12:J12)</f>
        <v>8520</v>
      </c>
      <c r="L12" s="190"/>
      <c r="M12" s="190"/>
      <c r="N12" s="190"/>
      <c r="O12" s="190"/>
      <c r="P12" s="190"/>
      <c r="Q12" s="190"/>
      <c r="R12" s="308">
        <f>SUM(K12:P12)*C12</f>
        <v>4260</v>
      </c>
      <c r="S12" s="320">
        <v>3</v>
      </c>
      <c r="T12" s="52"/>
      <c r="U12" s="52"/>
      <c r="V12" s="52"/>
      <c r="W12" s="52"/>
      <c r="X12" s="52"/>
      <c r="Y12" s="52"/>
    </row>
    <row r="13" spans="1:25" ht="19.5" customHeight="1">
      <c r="A13" s="338"/>
      <c r="B13" s="303"/>
      <c r="C13" s="340"/>
      <c r="D13" s="340"/>
      <c r="E13" s="340"/>
      <c r="F13" s="340"/>
      <c r="G13" s="340"/>
      <c r="H13" s="340"/>
      <c r="I13" s="346"/>
      <c r="J13" s="340"/>
      <c r="K13" s="340"/>
      <c r="L13" s="340"/>
      <c r="M13" s="340"/>
      <c r="N13" s="340"/>
      <c r="O13" s="340"/>
      <c r="P13" s="340"/>
      <c r="Q13" s="340"/>
      <c r="R13" s="347"/>
      <c r="S13" s="320"/>
      <c r="T13" s="52"/>
      <c r="U13" s="52"/>
      <c r="V13" s="52"/>
      <c r="W13" s="52"/>
      <c r="X13" s="52"/>
      <c r="Y13" s="52"/>
    </row>
    <row r="14" spans="1:25" ht="19.5" customHeight="1">
      <c r="A14" s="338"/>
      <c r="B14" s="348" t="s">
        <v>90</v>
      </c>
      <c r="C14" s="126">
        <f>C15+C16+C17+C18</f>
        <v>2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349">
        <f>R10+R11+R12</f>
        <v>21498.5</v>
      </c>
      <c r="S14" s="320"/>
      <c r="T14" s="9"/>
      <c r="U14" s="9"/>
      <c r="V14" s="9"/>
      <c r="W14" s="9"/>
      <c r="X14" s="9"/>
      <c r="Y14" s="9"/>
    </row>
    <row r="15" spans="1:19" ht="19.5" customHeight="1">
      <c r="A15" s="338"/>
      <c r="B15" s="348" t="s">
        <v>9</v>
      </c>
      <c r="C15" s="126">
        <f>C9</f>
        <v>0</v>
      </c>
      <c r="D15" s="187"/>
      <c r="E15" s="187"/>
      <c r="F15" s="350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349">
        <f>0</f>
        <v>0</v>
      </c>
      <c r="S15" s="320"/>
    </row>
    <row r="16" spans="1:19" ht="19.5" customHeight="1">
      <c r="A16" s="338"/>
      <c r="B16" s="348" t="s">
        <v>7</v>
      </c>
      <c r="C16" s="126">
        <f>SUM(C10:C10)</f>
        <v>1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349">
        <f>R10</f>
        <v>13500</v>
      </c>
      <c r="S16" s="320"/>
    </row>
    <row r="17" spans="1:19" ht="19.5" customHeight="1">
      <c r="A17" s="338"/>
      <c r="B17" s="348" t="s">
        <v>11</v>
      </c>
      <c r="C17" s="126">
        <f>C11</f>
        <v>0.5</v>
      </c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349">
        <f>R11</f>
        <v>3738.5</v>
      </c>
      <c r="S17" s="320"/>
    </row>
    <row r="18" spans="1:19" ht="19.5" customHeight="1">
      <c r="A18" s="338"/>
      <c r="B18" s="348" t="s">
        <v>10</v>
      </c>
      <c r="C18" s="126">
        <f>C12</f>
        <v>0.5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349">
        <f>R12</f>
        <v>4260</v>
      </c>
      <c r="S18" s="320"/>
    </row>
    <row r="19" spans="1:19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ht="19.5" customHeight="1"/>
    <row r="21" spans="1:22" ht="19.5" customHeight="1">
      <c r="A21" s="17"/>
      <c r="B21" s="468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V21" s="141"/>
    </row>
    <row r="24" spans="4:20" ht="12.75"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9"/>
    </row>
    <row r="25" spans="4:20" ht="12.75">
      <c r="D25" s="9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9"/>
    </row>
    <row r="26" spans="4:20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4:20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4:20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</sheetData>
  <sheetProtection/>
  <mergeCells count="14">
    <mergeCell ref="A7:S7"/>
    <mergeCell ref="B21:S21"/>
    <mergeCell ref="R4:R5"/>
    <mergeCell ref="S4:S5"/>
    <mergeCell ref="E4:J4"/>
    <mergeCell ref="K4:K5"/>
    <mergeCell ref="L4:N4"/>
    <mergeCell ref="O4:Q4"/>
    <mergeCell ref="A4:A5"/>
    <mergeCell ref="B4:B5"/>
    <mergeCell ref="P1:Q1"/>
    <mergeCell ref="P2:S2"/>
    <mergeCell ref="C4:C5"/>
    <mergeCell ref="D4:D5"/>
  </mergeCells>
  <printOptions/>
  <pageMargins left="0.2362204724409449" right="0.15748031496062992" top="0.5118110236220472" bottom="0.984251968503937" header="0.5" footer="0.5118110236220472"/>
  <pageSetup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339966"/>
  </sheetPr>
  <dimension ref="A1:Y26"/>
  <sheetViews>
    <sheetView view="pageBreakPreview" zoomScale="80" zoomScaleNormal="75" zoomScaleSheetLayoutView="80" zoomScalePageLayoutView="0" workbookViewId="0" topLeftCell="H1">
      <selection activeCell="P1" sqref="P1:S2"/>
    </sheetView>
  </sheetViews>
  <sheetFormatPr defaultColWidth="9.00390625" defaultRowHeight="12.75"/>
  <cols>
    <col min="1" max="1" width="4.625" style="0" customWidth="1"/>
    <col min="2" max="2" width="27.625" style="0" customWidth="1"/>
    <col min="3" max="3" width="10.625" style="0" customWidth="1"/>
    <col min="4" max="5" width="12.625" style="0" customWidth="1"/>
    <col min="6" max="6" width="9.625" style="0" customWidth="1"/>
    <col min="7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1.625" style="0" customWidth="1"/>
    <col min="12" max="12" width="10.625" style="0" customWidth="1"/>
    <col min="13" max="13" width="9.625" style="0" customWidth="1"/>
    <col min="14" max="16" width="10.625" style="0" customWidth="1"/>
    <col min="17" max="17" width="12.625" style="0" customWidth="1"/>
    <col min="18" max="18" width="14.625" style="0" customWidth="1"/>
    <col min="19" max="19" width="10.625" style="0" customWidth="1"/>
  </cols>
  <sheetData>
    <row r="1" spans="16:19" ht="13.5">
      <c r="P1" s="462" t="s">
        <v>198</v>
      </c>
      <c r="Q1" s="462"/>
      <c r="R1" s="404"/>
      <c r="S1" s="51"/>
    </row>
    <row r="2" spans="16:19" ht="45" customHeight="1">
      <c r="P2" s="462" t="s">
        <v>192</v>
      </c>
      <c r="Q2" s="462"/>
      <c r="R2" s="462"/>
      <c r="S2" s="462"/>
    </row>
    <row r="4" spans="1:19" ht="20.25" customHeight="1">
      <c r="A4" s="457" t="s">
        <v>0</v>
      </c>
      <c r="B4" s="457" t="s">
        <v>1</v>
      </c>
      <c r="C4" s="457" t="s">
        <v>171</v>
      </c>
      <c r="D4" s="457" t="s">
        <v>97</v>
      </c>
      <c r="E4" s="450" t="s">
        <v>63</v>
      </c>
      <c r="F4" s="451"/>
      <c r="G4" s="451"/>
      <c r="H4" s="451"/>
      <c r="I4" s="451"/>
      <c r="J4" s="452"/>
      <c r="K4" s="455" t="s">
        <v>147</v>
      </c>
      <c r="L4" s="450" t="s">
        <v>64</v>
      </c>
      <c r="M4" s="451"/>
      <c r="N4" s="451"/>
      <c r="O4" s="450" t="s">
        <v>66</v>
      </c>
      <c r="P4" s="451"/>
      <c r="Q4" s="452"/>
      <c r="R4" s="457" t="s">
        <v>2</v>
      </c>
      <c r="S4" s="457" t="s">
        <v>3</v>
      </c>
    </row>
    <row r="5" spans="1:19" ht="79.5" customHeight="1">
      <c r="A5" s="458"/>
      <c r="B5" s="458"/>
      <c r="C5" s="458"/>
      <c r="D5" s="458"/>
      <c r="E5" s="37" t="s">
        <v>172</v>
      </c>
      <c r="F5" s="37" t="s">
        <v>175</v>
      </c>
      <c r="G5" s="37" t="s">
        <v>116</v>
      </c>
      <c r="H5" s="37" t="s">
        <v>183</v>
      </c>
      <c r="I5" s="37" t="s">
        <v>176</v>
      </c>
      <c r="J5" s="37" t="s">
        <v>184</v>
      </c>
      <c r="K5" s="456"/>
      <c r="L5" s="37" t="s">
        <v>177</v>
      </c>
      <c r="M5" s="37" t="s">
        <v>65</v>
      </c>
      <c r="N5" s="37" t="s">
        <v>61</v>
      </c>
      <c r="O5" s="37" t="s">
        <v>174</v>
      </c>
      <c r="P5" s="37" t="s">
        <v>100</v>
      </c>
      <c r="Q5" s="382" t="s">
        <v>185</v>
      </c>
      <c r="R5" s="458"/>
      <c r="S5" s="458"/>
    </row>
    <row r="6" spans="1:25" ht="12" customHeight="1">
      <c r="A6" s="40">
        <v>1</v>
      </c>
      <c r="B6" s="40">
        <v>2</v>
      </c>
      <c r="C6" s="321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  <c r="S6" s="40">
        <v>19</v>
      </c>
      <c r="Y6" s="15"/>
    </row>
    <row r="7" spans="1:25" ht="19.5" customHeight="1">
      <c r="A7" s="464" t="s">
        <v>94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Y7" s="15"/>
    </row>
    <row r="8" spans="1:25" ht="12" customHeight="1">
      <c r="A8" s="40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Y8" s="15"/>
    </row>
    <row r="9" spans="1:19" ht="19.5" customHeight="1">
      <c r="A9" s="351">
        <v>1</v>
      </c>
      <c r="B9" s="145" t="s">
        <v>114</v>
      </c>
      <c r="C9" s="123">
        <f>0.5+0.5</f>
        <v>1</v>
      </c>
      <c r="D9" s="147">
        <f>7732</f>
        <v>7732</v>
      </c>
      <c r="E9" s="147"/>
      <c r="F9" s="147"/>
      <c r="G9" s="147"/>
      <c r="H9" s="147"/>
      <c r="I9" s="147"/>
      <c r="J9" s="147"/>
      <c r="K9" s="147">
        <f aca="true" t="shared" si="0" ref="K9:K14">SUM(D9:J9)</f>
        <v>7732</v>
      </c>
      <c r="L9" s="147"/>
      <c r="M9" s="147"/>
      <c r="N9" s="147">
        <f>K9*30%</f>
        <v>2319.6</v>
      </c>
      <c r="O9" s="147"/>
      <c r="P9" s="147"/>
      <c r="Q9" s="147">
        <f>20000-(D9+N9)*C9</f>
        <v>9948.4</v>
      </c>
      <c r="R9" s="352">
        <f>SUM(K9:P9)*C9+Q9</f>
        <v>20000</v>
      </c>
      <c r="S9" s="150">
        <v>14</v>
      </c>
    </row>
    <row r="10" spans="1:19" ht="19.5" customHeight="1">
      <c r="A10" s="351">
        <v>2</v>
      </c>
      <c r="B10" s="353" t="s">
        <v>57</v>
      </c>
      <c r="C10" s="123">
        <v>0.5</v>
      </c>
      <c r="D10" s="147">
        <f>5815</f>
        <v>5815</v>
      </c>
      <c r="E10" s="147"/>
      <c r="F10" s="147"/>
      <c r="G10" s="147"/>
      <c r="H10" s="147"/>
      <c r="I10" s="147"/>
      <c r="J10" s="147"/>
      <c r="K10" s="147">
        <f t="shared" si="0"/>
        <v>5815</v>
      </c>
      <c r="L10" s="147"/>
      <c r="M10" s="147"/>
      <c r="N10" s="147">
        <f>K10*30%</f>
        <v>1744.5</v>
      </c>
      <c r="O10" s="147"/>
      <c r="P10" s="147"/>
      <c r="Q10" s="147">
        <f>6750-(D10+N10)*C10</f>
        <v>2970.25</v>
      </c>
      <c r="R10" s="352">
        <f>SUM(K10:P10)*C10+Q10</f>
        <v>6750</v>
      </c>
      <c r="S10" s="150">
        <v>10</v>
      </c>
    </row>
    <row r="11" spans="1:19" ht="19.5" customHeight="1">
      <c r="A11" s="351">
        <v>3</v>
      </c>
      <c r="B11" s="354" t="s">
        <v>71</v>
      </c>
      <c r="C11" s="123">
        <v>0.5</v>
      </c>
      <c r="D11" s="147">
        <f>5815</f>
        <v>5815</v>
      </c>
      <c r="E11" s="147"/>
      <c r="F11" s="147"/>
      <c r="G11" s="147"/>
      <c r="H11" s="147"/>
      <c r="I11" s="147"/>
      <c r="J11" s="147"/>
      <c r="K11" s="147">
        <f t="shared" si="0"/>
        <v>5815</v>
      </c>
      <c r="L11" s="147"/>
      <c r="M11" s="147"/>
      <c r="N11" s="147">
        <f>K11*30%</f>
        <v>1744.5</v>
      </c>
      <c r="O11" s="147"/>
      <c r="P11" s="147"/>
      <c r="Q11" s="147">
        <f>6750-(D11+N11)*C11</f>
        <v>2970.25</v>
      </c>
      <c r="R11" s="352">
        <f>SUM(K11:P11)*C11+Q11</f>
        <v>6750</v>
      </c>
      <c r="S11" s="150">
        <v>10</v>
      </c>
    </row>
    <row r="12" spans="1:19" ht="19.5" customHeight="1">
      <c r="A12" s="351">
        <v>4</v>
      </c>
      <c r="B12" s="355" t="s">
        <v>99</v>
      </c>
      <c r="C12" s="123">
        <v>0.5</v>
      </c>
      <c r="D12" s="147">
        <f>7100*1</f>
        <v>7100</v>
      </c>
      <c r="E12" s="147"/>
      <c r="F12" s="147"/>
      <c r="G12" s="147"/>
      <c r="H12" s="147"/>
      <c r="I12" s="147"/>
      <c r="J12" s="147"/>
      <c r="K12" s="147">
        <f t="shared" si="0"/>
        <v>7100</v>
      </c>
      <c r="L12" s="147"/>
      <c r="M12" s="147"/>
      <c r="N12" s="147"/>
      <c r="O12" s="147"/>
      <c r="P12" s="147">
        <f>3770*10%</f>
        <v>377</v>
      </c>
      <c r="Q12" s="147"/>
      <c r="R12" s="352">
        <f>SUM(K12:P12)*C12</f>
        <v>3738.5</v>
      </c>
      <c r="S12" s="150">
        <v>3</v>
      </c>
    </row>
    <row r="13" spans="1:19" ht="19.5" customHeight="1">
      <c r="A13" s="351">
        <v>5</v>
      </c>
      <c r="B13" s="353" t="s">
        <v>120</v>
      </c>
      <c r="C13" s="219">
        <v>0.25</v>
      </c>
      <c r="D13" s="147">
        <f>7100*1.2</f>
        <v>8520</v>
      </c>
      <c r="E13" s="147"/>
      <c r="F13" s="147"/>
      <c r="G13" s="147"/>
      <c r="H13" s="147"/>
      <c r="I13" s="147"/>
      <c r="J13" s="147"/>
      <c r="K13" s="147">
        <f t="shared" si="0"/>
        <v>8520</v>
      </c>
      <c r="L13" s="147"/>
      <c r="M13" s="147"/>
      <c r="N13" s="147"/>
      <c r="O13" s="147"/>
      <c r="P13" s="147"/>
      <c r="Q13" s="147"/>
      <c r="R13" s="352">
        <f>SUM(K13:P13)*C13</f>
        <v>2130</v>
      </c>
      <c r="S13" s="150">
        <v>4</v>
      </c>
    </row>
    <row r="14" spans="1:19" ht="19.5" customHeight="1">
      <c r="A14" s="351">
        <v>6</v>
      </c>
      <c r="B14" s="303" t="s">
        <v>89</v>
      </c>
      <c r="C14" s="340">
        <v>0.25</v>
      </c>
      <c r="D14" s="233">
        <f>7100*1</f>
        <v>7100</v>
      </c>
      <c r="E14" s="190"/>
      <c r="F14" s="190"/>
      <c r="G14" s="190"/>
      <c r="H14" s="190"/>
      <c r="I14" s="190"/>
      <c r="J14" s="190"/>
      <c r="K14" s="190">
        <f t="shared" si="0"/>
        <v>7100</v>
      </c>
      <c r="L14" s="190"/>
      <c r="M14" s="190"/>
      <c r="N14" s="190"/>
      <c r="O14" s="190"/>
      <c r="P14" s="190"/>
      <c r="Q14" s="190"/>
      <c r="R14" s="367">
        <f>SUM(K14:P14)*C14</f>
        <v>1775</v>
      </c>
      <c r="S14" s="320">
        <v>3</v>
      </c>
    </row>
    <row r="15" spans="1:19" ht="19.5" customHeight="1">
      <c r="A15" s="351"/>
      <c r="B15" s="353"/>
      <c r="C15" s="219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352"/>
      <c r="S15" s="150"/>
    </row>
    <row r="16" spans="1:19" ht="19.5" customHeight="1">
      <c r="A16" s="351"/>
      <c r="B16" s="356" t="s">
        <v>90</v>
      </c>
      <c r="C16" s="357">
        <f>SUM(C9:C14)</f>
        <v>3</v>
      </c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358">
        <f>R9+R10+R11+R12+R13+R14</f>
        <v>41143.5</v>
      </c>
      <c r="S16" s="150"/>
    </row>
    <row r="17" spans="1:19" ht="19.5" customHeight="1">
      <c r="A17" s="351"/>
      <c r="B17" s="356" t="s">
        <v>9</v>
      </c>
      <c r="C17" s="357">
        <f>SUM(C9:C9)</f>
        <v>1</v>
      </c>
      <c r="D17" s="221"/>
      <c r="E17" s="221"/>
      <c r="F17" s="359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358">
        <f>R9</f>
        <v>20000</v>
      </c>
      <c r="S17" s="150"/>
    </row>
    <row r="18" spans="1:19" ht="19.5" customHeight="1">
      <c r="A18" s="351"/>
      <c r="B18" s="356" t="s">
        <v>7</v>
      </c>
      <c r="C18" s="357">
        <f>SUM(C10:C11)</f>
        <v>1</v>
      </c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358">
        <f>R10+R11</f>
        <v>13500</v>
      </c>
      <c r="S18" s="150"/>
    </row>
    <row r="19" spans="1:19" ht="19.5" customHeight="1">
      <c r="A19" s="351"/>
      <c r="B19" s="356" t="s">
        <v>11</v>
      </c>
      <c r="C19" s="357">
        <f>C12</f>
        <v>0.5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358">
        <f>R12</f>
        <v>3738.5</v>
      </c>
      <c r="S19" s="150"/>
    </row>
    <row r="20" spans="1:19" ht="19.5" customHeight="1">
      <c r="A20" s="351"/>
      <c r="B20" s="356" t="s">
        <v>10</v>
      </c>
      <c r="C20" s="357">
        <f>C13+C14</f>
        <v>0.5</v>
      </c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358">
        <f>R13+R14</f>
        <v>3905</v>
      </c>
      <c r="S20" s="150"/>
    </row>
    <row r="21" spans="4:19" ht="19.5" customHeight="1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25"/>
      <c r="S21" s="15"/>
    </row>
    <row r="22" spans="3:18" ht="19.5" customHeight="1">
      <c r="C22" s="102"/>
      <c r="D22" s="101"/>
      <c r="E22" s="101"/>
      <c r="F22" s="101"/>
      <c r="G22" s="101"/>
      <c r="H22" s="101"/>
      <c r="I22" s="101"/>
      <c r="J22" s="101"/>
      <c r="K22" s="101"/>
      <c r="L22" s="101"/>
      <c r="M22" s="4"/>
      <c r="N22" s="4"/>
      <c r="O22" s="4"/>
      <c r="P22" s="4"/>
      <c r="Q22" s="4"/>
      <c r="R22" s="4"/>
    </row>
    <row r="23" spans="4:18" ht="1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4:18" ht="1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4:18" ht="15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3:19" ht="12.75">
      <c r="C26" s="360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</row>
  </sheetData>
  <sheetProtection/>
  <mergeCells count="13">
    <mergeCell ref="A7:S7"/>
    <mergeCell ref="A4:A5"/>
    <mergeCell ref="B4:B5"/>
    <mergeCell ref="C4:C5"/>
    <mergeCell ref="D4:D5"/>
    <mergeCell ref="R4:R5"/>
    <mergeCell ref="S4:S5"/>
    <mergeCell ref="E4:J4"/>
    <mergeCell ref="K4:K5"/>
    <mergeCell ref="L4:N4"/>
    <mergeCell ref="P1:Q1"/>
    <mergeCell ref="P2:S2"/>
    <mergeCell ref="O4:Q4"/>
  </mergeCells>
  <printOptions/>
  <pageMargins left="0.26" right="0.15748031496062992" top="0.58" bottom="0.984251968503937" header="0.59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2024-03-18T08:12:32Z</cp:lastPrinted>
  <dcterms:created xsi:type="dcterms:W3CDTF">2007-05-25T06:15:19Z</dcterms:created>
  <dcterms:modified xsi:type="dcterms:W3CDTF">2024-03-18T08:13:49Z</dcterms:modified>
  <cp:category/>
  <cp:version/>
  <cp:contentType/>
  <cp:contentStatus/>
</cp:coreProperties>
</file>