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6"/>
  </bookViews>
  <sheets>
    <sheet name="додаток1" sheetId="1" r:id="rId1"/>
    <sheet name="Додаток 2" sheetId="2" r:id="rId2"/>
    <sheet name="Додаток 3" sheetId="3" r:id="rId3"/>
    <sheet name="Додаток4" sheetId="4" r:id="rId4"/>
    <sheet name="Додаток 5" sheetId="5" r:id="rId5"/>
    <sheet name="Додаток 6" sheetId="6" r:id="rId6"/>
    <sheet name="Додаток7" sheetId="7" r:id="rId7"/>
  </sheets>
  <definedNames>
    <definedName name="_xlnm.Print_Area" localSheetId="1">'Додаток 2'!$A$1:$F$37</definedName>
    <definedName name="_xlnm.Print_Area" localSheetId="2">'Додаток 3'!$A$1:$P$124</definedName>
    <definedName name="_xlnm.Print_Area" localSheetId="4">'Додаток 5'!$A$1:$F$86</definedName>
    <definedName name="_xlnm.Print_Area" localSheetId="5">'Додаток 6'!$A$1:$J$81</definedName>
    <definedName name="_xlnm.Print_Area" localSheetId="0">'додаток1'!$A$1:$F$133</definedName>
    <definedName name="_xlnm.Print_Titles" localSheetId="1">'Додаток 2'!$7:$11</definedName>
    <definedName name="_xlnm.Print_Titles" localSheetId="2">'Додаток 3'!$11:$15</definedName>
    <definedName name="_xlnm.Print_Titles" localSheetId="4">'Додаток 5'!$6:$12</definedName>
    <definedName name="_xlnm.Print_Titles" localSheetId="5">'Додаток 6'!$10:$10</definedName>
    <definedName name="_xlnm.Print_Titles" localSheetId="0">'додаток1'!$11:$14</definedName>
    <definedName name="_xlnm.Print_Titles" localSheetId="3">'Додаток4'!$12:$16</definedName>
    <definedName name="_xlnm.Print_Titles" localSheetId="6">'Додаток7'!$11:$13</definedName>
    <definedName name="_xlnm.Print_Titles" localSheetId="2">'Додаток 3'!$11:$15</definedName>
    <definedName name="_xlnm.Print_Titles" localSheetId="5">'Додаток 6'!$10:$11</definedName>
    <definedName name="_xlnm.Print_Titles" localSheetId="0">'додаток1'!$11:$14</definedName>
    <definedName name="_xlnm.Print_Titles" localSheetId="6">'Додаток7'!$11:$13</definedName>
    <definedName name="_xlnm.Print_Area" localSheetId="2">'Додаток 3'!$A$1:$P$123</definedName>
    <definedName name="_xlnm.Print_Area" localSheetId="4">'Додаток 5'!$A$1:$F$85</definedName>
    <definedName name="_xlnm.Print_Area" localSheetId="5">'Додаток 6'!$A$1:$J$81</definedName>
    <definedName name="_xlnm.Print_Area" localSheetId="3">'Додаток4'!$A$1:$P$31</definedName>
    <definedName name="_xlnm.Print_Area" localSheetId="6">'Додаток7'!$A$1:$J$110</definedName>
  </definedNames>
  <calcPr fullCalcOnLoad="1"/>
</workbook>
</file>

<file path=xl/sharedStrings.xml><?xml version="1.0" encoding="utf-8"?>
<sst xmlns="http://schemas.openxmlformats.org/spreadsheetml/2006/main" count="1062" uniqueCount="575">
  <si>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</si>
  <si>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</si>
  <si>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</si>
  <si>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</si>
  <si>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</si>
  <si>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</si>
  <si>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</si>
  <si>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</si>
  <si>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</si>
  <si>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</si>
  <si>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</si>
  <si>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</si>
  <si>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</si>
  <si>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</si>
  <si>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</si>
  <si>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</si>
  <si>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</si>
  <si>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</si>
  <si>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</si>
  <si>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</si>
  <si>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</si>
  <si>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</si>
  <si>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</si>
  <si>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</si>
  <si>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</si>
  <si>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</si>
  <si>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</si>
  <si>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</si>
  <si>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</si>
  <si>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</si>
  <si>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</si>
  <si>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</si>
  <si>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</si>
  <si>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</si>
  <si>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</si>
  <si>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</si>
  <si>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</si>
  <si>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</si>
  <si>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</si>
  <si>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</si>
  <si>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</si>
  <si>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</si>
  <si>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</si>
  <si>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</si>
  <si>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</si>
  <si>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</si>
  <si>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</si>
  <si>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</si>
  <si>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</si>
  <si>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</si>
  <si>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</si>
  <si>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</si>
  <si>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</si>
  <si>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</si>
  <si>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</si>
  <si>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</si>
  <si>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</si>
  <si>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</si>
  <si>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</si>
  <si>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</si>
  <si>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</si>
  <si>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</si>
  <si>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</si>
  <si>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</si>
  <si>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</si>
  <si>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</si>
  <si>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</si>
  <si>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</si>
  <si>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</si>
  <si>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Програма соціальної турботи про Захисників та захисниць України, членів їх сімей на 2023-2025 роки</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</si>
  <si>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</si>
  <si>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Капітальний ремонт шкільного автобуса</t>
  </si>
  <si>
    <t>3719150</t>
  </si>
  <si>
    <t>9150</t>
  </si>
  <si>
    <t>в т.ч. на реалізацію заходів з ліквідації наслідків ведення бойових дій та відновлення інфраструктури на територіях громад Київської області; будівництва захисних споруд цивільного захисту населення від впливу небезпечних факторів, що виникають внаслідок надзвичайних ситуацій, воєнних дій або терористичних актів; відсічі збройної агресії російської федерації проти України та забезпечення національної безпеки.</t>
  </si>
  <si>
    <t>2023-2025</t>
  </si>
  <si>
    <t>Обсяг капітальних вкладень місцевого бюджету у 2023 році, гривень</t>
  </si>
  <si>
    <t>Очікуваний рівень готовності пректу на кінець 2023 року, %</t>
  </si>
  <si>
    <t xml:space="preserve">Реконструкція системи газопостачання теплогенераторної  Денихівського ЗДО «Віночок» </t>
  </si>
  <si>
    <t>0216012</t>
  </si>
  <si>
    <t>6012</t>
  </si>
  <si>
    <t>Забезпечення діяльності з виробництва, транспортування, постачання теплової енергії</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</si>
  <si>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</si>
  <si>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</si>
  <si>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</si>
  <si>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Співфінансування субвенції з державного бюджету місцевим бюджетам на придбання шкільних автобусів</t>
  </si>
  <si>
    <t>в т.ч. 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</si>
  <si>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</si>
  <si>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</si>
  <si>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</si>
  <si>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</si>
  <si>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</si>
  <si>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</si>
  <si>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</si>
  <si>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</si>
  <si>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</si>
  <si>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</si>
  <si>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</si>
  <si>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</si>
  <si>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</si>
  <si>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</si>
  <si>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</si>
  <si>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</si>
  <si>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</si>
  <si>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</si>
  <si>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</si>
  <si>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</si>
  <si>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</si>
  <si>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</si>
  <si>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0216015</t>
  </si>
  <si>
    <t>6015</t>
  </si>
  <si>
    <t>Забезпечення надійної та безперебійної експлуатації ліфтів</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</si>
  <si>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</si>
  <si>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</si>
  <si>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</si>
  <si>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</si>
  <si>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</si>
  <si>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</si>
  <si>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</si>
  <si>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</si>
  <si>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</si>
  <si>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</si>
  <si>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</si>
  <si>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</si>
  <si>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</si>
  <si>
    <t xml:space="preserve">Капітальний ремонт Кашперівського ЗДО «Ромашка» та Тетіївського ЗДО "Веселка" (встановлення блискавко захисту, обладнання пожежною сигналізацією, обробка дерев’яних елементів горища засобами вогнезахисту) </t>
  </si>
  <si>
    <t>Рішення сесії Тетіївської міської ради від 26.10.2023 № 1023-23-VIIІ</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</si>
  <si>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</si>
  <si>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</si>
  <si>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</si>
  <si>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</si>
  <si>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Співфінансування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 (в рамках Програми з відновлення України)</t>
  </si>
  <si>
    <t>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t>
  </si>
  <si>
    <t>Проведення реконструкції комерційного вузла обліку газу в адмінприміщенні по вул. Перемоги, с. Теліженці, Білоцерківського району, Київської області</t>
  </si>
  <si>
    <t>Виконання проектних робіт з розробки проектно-кошторисної документації (стадійність проектування: "Проект") по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26-Е, м. Тетіїв, Білоцерківський район, Київська область"</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</si>
  <si>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</si>
  <si>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</si>
  <si>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</si>
  <si>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</si>
  <si>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</si>
  <si>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</si>
  <si>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</si>
  <si>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</si>
  <si>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</si>
  <si>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</si>
  <si>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</si>
  <si>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</si>
  <si>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</si>
  <si>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</si>
  <si>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</si>
  <si>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</si>
  <si>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</si>
  <si>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</si>
  <si>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</si>
  <si>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</si>
  <si>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</si>
  <si>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</si>
  <si>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</si>
  <si>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</si>
  <si>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</si>
  <si>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</si>
  <si>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</si>
  <si>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</si>
  <si>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</si>
  <si>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</si>
  <si>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</si>
  <si>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</si>
  <si>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</si>
  <si>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</si>
  <si>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</si>
  <si>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</si>
  <si>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</si>
  <si>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</si>
  <si>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</si>
  <si>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</si>
  <si>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</si>
  <si>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</si>
  <si>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</si>
  <si>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</si>
  <si>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</si>
  <si>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</si>
  <si>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</si>
  <si>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</si>
  <si>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</si>
  <si>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</si>
  <si>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</si>
  <si>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</si>
  <si>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</si>
  <si>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</si>
  <si>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</si>
  <si>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</si>
  <si>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</si>
  <si>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</si>
  <si>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</si>
  <si>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</si>
  <si>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</si>
  <si>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</si>
  <si>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</si>
  <si>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</si>
  <si>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</si>
  <si>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</si>
  <si>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</si>
  <si>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</si>
  <si>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</si>
  <si>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</si>
  <si>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</si>
  <si>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</si>
  <si>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</si>
  <si>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</si>
  <si>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</si>
  <si>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</si>
  <si>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</si>
  <si>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</si>
  <si>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</si>
  <si>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</si>
  <si>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</si>
  <si>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</si>
  <si>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</si>
  <si>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</si>
  <si>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</si>
  <si>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</si>
  <si>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</si>
  <si>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</si>
  <si>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</si>
  <si>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</si>
  <si>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</si>
  <si>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</si>
  <si>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</si>
  <si>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</si>
  <si>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</si>
  <si>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</si>
  <si>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</si>
  <si>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</si>
  <si>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</si>
  <si>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</si>
  <si>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</si>
  <si>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</si>
  <si>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</si>
  <si>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</si>
  <si>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</si>
  <si>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</si>
  <si>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</si>
  <si>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</si>
  <si>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</si>
  <si>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</si>
  <si>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(в редакції рішення двадцять третьої сесії Тетіївської міської ради від 26.10.2023 № 1037-23-VIII)</t>
  </si>
  <si>
    <t>Надання загальної середньої освіти закладами загальної середньої освіти (мб)</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</si>
  <si>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</si>
  <si>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</si>
  <si>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</si>
  <si>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</si>
  <si>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</si>
  <si>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</si>
  <si>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</si>
  <si>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</si>
  <si>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</si>
  <si>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</si>
  <si>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</si>
  <si>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</si>
  <si>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</si>
  <si>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</si>
  <si>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</si>
  <si>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</si>
  <si>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</si>
  <si>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</si>
  <si>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</si>
  <si>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</si>
  <si>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</si>
  <si>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</si>
  <si>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</si>
  <si>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</si>
  <si>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</si>
  <si>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</si>
  <si>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</si>
  <si>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</si>
  <si>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</si>
  <si>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</si>
  <si>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</si>
  <si>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</si>
  <si>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</si>
  <si>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</si>
  <si>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</si>
  <si>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</si>
  <si>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</si>
  <si>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</si>
  <si>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</si>
  <si>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</si>
  <si>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</si>
  <si>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0611271</t>
  </si>
  <si>
    <t>0611272</t>
  </si>
  <si>
    <t>1271</t>
  </si>
  <si>
    <t>1272</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</si>
  <si>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</si>
  <si>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</si>
  <si>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</si>
  <si>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</si>
  <si>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</si>
  <si>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</si>
  <si>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</si>
  <si>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</si>
  <si>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</si>
  <si>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</si>
  <si>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</si>
  <si>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</si>
  <si>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</si>
  <si>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</si>
  <si>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</si>
  <si>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</si>
  <si>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</si>
  <si>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</si>
  <si>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</si>
  <si>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</si>
  <si>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</si>
  <si>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</si>
  <si>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</si>
  <si>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</si>
  <si>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</si>
  <si>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</si>
  <si>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</si>
  <si>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</si>
  <si>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Додаток № 4</t>
  </si>
  <si>
    <t>Надання кредитів</t>
  </si>
  <si>
    <t>Повернення кредитів</t>
  </si>
  <si>
    <t>Кредитування - всього</t>
  </si>
  <si>
    <t>Cпеціальний фонд</t>
  </si>
  <si>
    <t>у тому числі бюджет розвитку</t>
  </si>
  <si>
    <t>0813112</t>
  </si>
  <si>
    <t>Програма "Соціальна підтримка сімей, дітей та молоді Тетіївської міської територіальної громади" на 2023 - 2025 роки</t>
  </si>
  <si>
    <t>Рішення сесії Тетіївської міської ради від 20.06.2023 № 944-21-VIIІ</t>
  </si>
  <si>
    <t xml:space="preserve">                                                                                                                            </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</si>
  <si>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</si>
  <si>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</si>
  <si>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</si>
  <si>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</si>
  <si>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</si>
  <si>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</si>
  <si>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</si>
  <si>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</si>
  <si>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</si>
  <si>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</si>
  <si>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</si>
  <si>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</si>
  <si>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</si>
  <si>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</si>
  <si>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</si>
  <si>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</si>
  <si>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 xml:space="preserve"> Додаток № 6</t>
  </si>
  <si>
    <t>Профінансовано</t>
  </si>
  <si>
    <t>доходи</t>
  </si>
  <si>
    <t>вільні лишки БР</t>
  </si>
  <si>
    <t>субвен д/б</t>
  </si>
  <si>
    <t>субвенції</t>
  </si>
  <si>
    <t>1</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</si>
  <si>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</si>
  <si>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</si>
  <si>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</si>
  <si>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</si>
  <si>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</si>
  <si>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</si>
  <si>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</si>
  <si>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0601142</t>
  </si>
  <si>
    <t>Інші  програми та заходи у сфері освіти</t>
  </si>
  <si>
    <t>0443</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</si>
  <si>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</si>
  <si>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</si>
  <si>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</si>
  <si>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</si>
  <si>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</si>
  <si>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</si>
  <si>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</si>
  <si>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</si>
  <si>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</si>
  <si>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</si>
  <si>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</si>
  <si>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</si>
  <si>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</si>
  <si>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</si>
  <si>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</si>
  <si>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Програма соціальної підтримки учасників операції об’єднаних сил, антитерористичної операції та членів сімей загиблих на 2021 – 2025 роки</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</si>
  <si>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</si>
  <si>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</si>
  <si>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</si>
  <si>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</si>
  <si>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</si>
  <si>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</si>
  <si>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</si>
  <si>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</si>
  <si>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</si>
  <si>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</si>
  <si>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</si>
  <si>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</si>
  <si>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</si>
  <si>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</si>
  <si>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</si>
  <si>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</si>
  <si>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</si>
  <si>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7363</t>
  </si>
  <si>
    <t>Виконання інвестиційних проектів в рамках здійснення заходів щодо соціально-економічного розвитку окремих територій</t>
  </si>
  <si>
    <t>0217369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</si>
  <si>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</si>
  <si>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</si>
  <si>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0217463</t>
  </si>
  <si>
    <t>7463</t>
  </si>
  <si>
    <t>Утримання та розвиток автомобільних доріг та дорожньої інфраструктури за рахунок трансфертів з інших місцевих бюджетів</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</si>
  <si>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</si>
  <si>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</si>
  <si>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</si>
  <si>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</si>
  <si>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</si>
  <si>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</si>
  <si>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</si>
  <si>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</si>
  <si>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</si>
  <si>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</si>
  <si>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</si>
  <si>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</si>
  <si>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</si>
  <si>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</si>
  <si>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</si>
  <si>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</si>
  <si>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</si>
  <si>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</si>
  <si>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</si>
  <si>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</si>
  <si>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</si>
  <si>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</si>
  <si>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</si>
  <si>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</si>
  <si>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</si>
  <si>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</si>
  <si>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</si>
  <si>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</si>
  <si>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"Фінансової підтримки комунальних підприємств Тетіївської громади" на 2021-2022 роки</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</si>
  <si>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</si>
  <si>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субвенції обл. б-ту</t>
  </si>
  <si>
    <t>із заг. Передача</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</si>
  <si>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</si>
  <si>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</si>
  <si>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</si>
  <si>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</si>
  <si>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</si>
  <si>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</si>
  <si>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</si>
  <si>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</si>
  <si>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</si>
  <si>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</si>
  <si>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</si>
  <si>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</si>
  <si>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</si>
  <si>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</si>
  <si>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</si>
  <si>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</si>
  <si>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</si>
  <si>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</si>
  <si>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0217390</t>
  </si>
  <si>
    <t>7390</t>
  </si>
  <si>
    <t>Розвиток мережі центрів надання адміністративних послуг</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</si>
  <si>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</si>
  <si>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</si>
  <si>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</si>
  <si>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</si>
  <si>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</si>
  <si>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</si>
  <si>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</si>
  <si>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</si>
  <si>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</si>
  <si>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</si>
  <si>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</si>
  <si>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</si>
  <si>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</si>
  <si>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</si>
  <si>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</si>
  <si>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</si>
  <si>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</si>
  <si>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</si>
  <si>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</si>
  <si>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</si>
  <si>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</si>
  <si>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</si>
  <si>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</si>
  <si>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</si>
  <si>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</si>
  <si>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</si>
  <si>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в т.ч. Програма "Поліцейський офіцер громади" на 2021-2025 роки</t>
  </si>
  <si>
    <t xml:space="preserve">Київський обласний військовоий комісаріат для 402 окремого стрілецького батальйону </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</si>
  <si>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</si>
  <si>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</si>
  <si>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</si>
  <si>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</si>
  <si>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</si>
  <si>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</si>
  <si>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</si>
  <si>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</si>
  <si>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</si>
  <si>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</si>
  <si>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</si>
  <si>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</si>
  <si>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</si>
  <si>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2021-2025</t>
  </si>
  <si>
    <t>2021-2026</t>
  </si>
  <si>
    <t>2021-2027</t>
  </si>
  <si>
    <t>Вільні лишки  субвен</t>
  </si>
  <si>
    <t>Надання загальної середньої освіти закладами загальної середньої освіти ( залишок освітньої субвенції)</t>
  </si>
  <si>
    <t>061141</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</si>
  <si>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</si>
  <si>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</si>
  <si>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</si>
  <si>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</si>
  <si>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</si>
  <si>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</si>
  <si>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</si>
  <si>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</si>
  <si>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</si>
  <si>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</si>
  <si>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</si>
  <si>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</si>
  <si>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</si>
  <si>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</si>
  <si>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</si>
  <si>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</si>
  <si>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</si>
  <si>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</si>
  <si>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</si>
  <si>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</si>
  <si>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</si>
  <si>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</si>
  <si>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</si>
  <si>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</si>
  <si>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</si>
  <si>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</si>
  <si>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</si>
  <si>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</si>
  <si>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</si>
  <si>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</si>
  <si>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</si>
  <si>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</si>
  <si>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</si>
  <si>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</si>
  <si>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Співфінансування заходів, що реалізуються за рахунок освітньої субвенції з державного бюджету місцевими бюджетам (за спеціальним фондом державного бюджету)</t>
  </si>
  <si>
    <t>Реалізація заходів за рахунок освітньої субвенції з державного бюджету місцевим бюджетам (за спеціальним фондом державного бюджету)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</si>
  <si>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</si>
  <si>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</si>
  <si>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Кредитування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</si>
  <si>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</si>
  <si>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Обсяги капітальних вкладень бюджету у розрізі інвестиційних проектів у 2023 році</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</si>
  <si>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</si>
  <si>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</si>
  <si>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</si>
  <si>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</si>
  <si>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</si>
  <si>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</si>
  <si>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</si>
  <si>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</si>
  <si>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</si>
  <si>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</si>
  <si>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</si>
  <si>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</si>
  <si>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</si>
  <si>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</si>
  <si>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</si>
  <si>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</si>
  <si>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</si>
  <si>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Податок на доходи  фізичних осіб, що сплачується податковими агентами, із доходів платника податку у вигляді заробітної плати</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</si>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</sst>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65">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b/>
      <i/>
      <sz val="18"/>
      <name val="Times New Roman"/>
      <family val="1"/>
    </font>
    <font>
      <sz val="13"/>
      <name val="Times New Roman"/>
      <family val="1"/>
    </font>
    <font>
      <b/>
      <sz val="15"/>
      <name val="Times New Roman"/>
      <family val="1"/>
    </font>
    <font>
      <sz val="15"/>
      <name val="Times New Roman"/>
      <family val="1"/>
    </font>
    <font>
      <sz val="16"/>
      <name val="Times New Roman"/>
      <family val="1"/>
    </font>
    <font>
      <b/>
      <sz val="18"/>
      <name val="Times New Roman"/>
      <family val="1"/>
    </font>
    <font>
      <sz val="14"/>
      <color indexed="8"/>
      <name val="Times New Roman"/>
      <family val="1"/>
    </font>
    <font>
      <i/>
      <sz val="18"/>
      <name val="Times New Roman"/>
      <family val="1"/>
    </font>
    <font>
      <i/>
      <sz val="14"/>
      <name val="Times New Roman"/>
      <family val="1"/>
    </font>
    <font>
      <b/>
      <sz val="11"/>
      <name val="Times New Roman"/>
      <family val="1"/>
    </font>
    <font>
      <b/>
      <sz val="10"/>
      <name val="Times New Roman"/>
      <family val="1"/>
    </font>
    <font>
      <sz val="12"/>
      <color indexed="8"/>
      <name val="Times New Roman"/>
      <family val="1"/>
    </font>
    <font>
      <b/>
      <sz val="13"/>
      <color indexed="8"/>
      <name val="Times New Roman"/>
      <family val="1"/>
    </font>
    <font>
      <sz val="13"/>
      <color indexed="8"/>
      <name val="Times New Roman"/>
      <family val="1"/>
    </font>
    <font>
      <b/>
      <sz val="11"/>
      <color indexed="8"/>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5"/>
      <color indexed="8"/>
      <name val="Times New Roman"/>
      <family val="1"/>
    </font>
    <font>
      <sz val="15"/>
      <color indexed="8"/>
      <name val="Times New Roman"/>
      <family val="1"/>
    </font>
    <font>
      <b/>
      <sz val="13"/>
      <name val="Arial Cyr"/>
      <family val="2"/>
    </font>
    <font>
      <sz val="16"/>
      <name val="Arial Cyr"/>
      <family val="2"/>
    </font>
    <font>
      <b/>
      <sz val="20"/>
      <name val="Times New Roman"/>
      <family val="1"/>
    </font>
    <font>
      <sz val="20"/>
      <name val="Times New Roman"/>
      <family val="1"/>
    </font>
    <font>
      <b/>
      <sz val="16"/>
      <color indexed="8"/>
      <name val="Times New Roman"/>
      <family val="1"/>
    </font>
    <font>
      <sz val="13"/>
      <color indexed="9"/>
      <name val="Times New Roman"/>
      <family val="1"/>
    </font>
    <font>
      <b/>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b/>
      <sz val="11"/>
      <name val="Arial Cyr"/>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7" borderId="1" applyNumberFormat="0" applyAlignment="0" applyProtection="0"/>
    <xf numFmtId="0" fontId="49" fillId="20" borderId="2" applyNumberFormat="0" applyAlignment="0" applyProtection="0"/>
    <xf numFmtId="0" fontId="50" fillId="20" borderId="1" applyNumberFormat="0" applyAlignment="0" applyProtection="0"/>
    <xf numFmtId="0" fontId="3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4" fillId="0" borderId="0">
      <alignment vertical="top"/>
      <protection/>
    </xf>
    <xf numFmtId="0" fontId="54" fillId="0" borderId="6" applyNumberFormat="0" applyFill="0" applyAlignment="0" applyProtection="0"/>
    <xf numFmtId="0" fontId="55" fillId="21" borderId="7" applyNumberFormat="0" applyAlignment="0" applyProtection="0"/>
    <xf numFmtId="0" fontId="56" fillId="0" borderId="0" applyNumberFormat="0" applyFill="0" applyBorder="0" applyAlignment="0" applyProtection="0"/>
    <xf numFmtId="0" fontId="57" fillId="22" borderId="0" applyNumberFormat="0" applyBorder="0" applyAlignment="0" applyProtection="0"/>
    <xf numFmtId="0" fontId="32" fillId="0" borderId="0" applyNumberFormat="0" applyFill="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62" fillId="4" borderId="0" applyNumberFormat="0" applyBorder="0" applyAlignment="0" applyProtection="0"/>
  </cellStyleXfs>
  <cellXfs count="57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4"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13" fillId="0" borderId="0" xfId="0" applyFont="1" applyAlignment="1">
      <alignment/>
    </xf>
    <xf numFmtId="0" fontId="14" fillId="0" borderId="0" xfId="0" applyFont="1" applyBorder="1" applyAlignment="1">
      <alignment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center"/>
    </xf>
    <xf numFmtId="196" fontId="17" fillId="0" borderId="0" xfId="0" applyNumberFormat="1" applyFont="1" applyAlignment="1">
      <alignment horizontal="center"/>
    </xf>
    <xf numFmtId="0" fontId="17" fillId="0" borderId="0" xfId="0" applyFont="1" applyAlignment="1">
      <alignment/>
    </xf>
    <xf numFmtId="0" fontId="9" fillId="0" borderId="0" xfId="0" applyFont="1" applyAlignment="1">
      <alignment horizontal="center"/>
    </xf>
    <xf numFmtId="0" fontId="18" fillId="0" borderId="0" xfId="0" applyFont="1" applyBorder="1" applyAlignment="1">
      <alignment horizontal="center" wrapText="1"/>
    </xf>
    <xf numFmtId="0" fontId="18" fillId="0" borderId="0"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7" fillId="0" borderId="0" xfId="0" applyFont="1" applyBorder="1" applyAlignment="1">
      <alignment horizontal="center"/>
    </xf>
    <xf numFmtId="196" fontId="17" fillId="0" borderId="0" xfId="0" applyNumberFormat="1" applyFont="1" applyBorder="1" applyAlignment="1">
      <alignment horizontal="center"/>
    </xf>
    <xf numFmtId="0" fontId="17" fillId="0" borderId="0" xfId="0"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xf>
    <xf numFmtId="0" fontId="18" fillId="0" borderId="0" xfId="0" applyFont="1" applyBorder="1" applyAlignment="1">
      <alignment wrapText="1"/>
    </xf>
    <xf numFmtId="0" fontId="20" fillId="0" borderId="0" xfId="0" applyFont="1" applyAlignment="1">
      <alignment/>
    </xf>
    <xf numFmtId="0" fontId="21" fillId="0" borderId="0" xfId="0" applyFont="1" applyAlignment="1">
      <alignment/>
    </xf>
    <xf numFmtId="0" fontId="17" fillId="0" borderId="0" xfId="0" applyFont="1" applyBorder="1" applyAlignment="1">
      <alignment horizontal="right"/>
    </xf>
    <xf numFmtId="1" fontId="4" fillId="0" borderId="10" xfId="0" applyNumberFormat="1" applyFont="1" applyBorder="1" applyAlignment="1">
      <alignment horizontal="center" vertical="center" wrapText="1"/>
    </xf>
    <xf numFmtId="3" fontId="7" fillId="0" borderId="0" xfId="0" applyNumberFormat="1" applyFont="1" applyBorder="1" applyAlignment="1">
      <alignment shrinkToFit="1"/>
    </xf>
    <xf numFmtId="3" fontId="17" fillId="0" borderId="0" xfId="0" applyNumberFormat="1" applyFont="1" applyBorder="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22"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23" fillId="0" borderId="0" xfId="0" applyFont="1" applyAlignment="1">
      <alignment/>
    </xf>
    <xf numFmtId="0" fontId="23" fillId="0" borderId="0" xfId="0" applyFont="1" applyAlignment="1">
      <alignment vertical="center" wrapText="1"/>
    </xf>
    <xf numFmtId="0" fontId="2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Fill="1" applyBorder="1" applyAlignment="1">
      <alignment horizontal="left" vertical="center" wrapText="1"/>
    </xf>
    <xf numFmtId="197" fontId="25" fillId="0" borderId="10" xfId="0" applyNumberFormat="1" applyFont="1" applyBorder="1" applyAlignment="1">
      <alignment horizontal="center" vertical="center" wrapText="1"/>
    </xf>
    <xf numFmtId="0" fontId="26" fillId="0" borderId="10" xfId="0" applyFont="1" applyBorder="1" applyAlignment="1">
      <alignment horizontal="left" vertical="center" wrapText="1"/>
    </xf>
    <xf numFmtId="197" fontId="26" fillId="0"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4" fillId="0" borderId="10" xfId="0" applyFont="1" applyBorder="1" applyAlignment="1">
      <alignment horizontal="left" vertical="center" wrapText="1"/>
    </xf>
    <xf numFmtId="197" fontId="2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5" fillId="0" borderId="0" xfId="0" applyFont="1" applyFill="1" applyAlignment="1">
      <alignment/>
    </xf>
    <xf numFmtId="0" fontId="5" fillId="0" borderId="0" xfId="0" applyFont="1" applyFill="1" applyBorder="1" applyAlignment="1">
      <alignment/>
    </xf>
    <xf numFmtId="0" fontId="9" fillId="0" borderId="0" xfId="0" applyFont="1" applyBorder="1" applyAlignment="1">
      <alignment/>
    </xf>
    <xf numFmtId="197" fontId="9" fillId="0" borderId="0" xfId="0" applyNumberFormat="1" applyFont="1" applyBorder="1" applyAlignment="1">
      <alignment/>
    </xf>
    <xf numFmtId="0" fontId="9" fillId="24" borderId="0" xfId="0" applyFont="1" applyFill="1" applyAlignment="1">
      <alignment/>
    </xf>
    <xf numFmtId="0" fontId="27" fillId="0" borderId="0" xfId="0" applyFont="1" applyAlignment="1">
      <alignment/>
    </xf>
    <xf numFmtId="197" fontId="25" fillId="0" borderId="10" xfId="0" applyNumberFormat="1" applyFont="1" applyFill="1" applyBorder="1" applyAlignment="1">
      <alignment horizontal="center" vertical="center" wrapText="1"/>
    </xf>
    <xf numFmtId="197" fontId="9" fillId="0" borderId="0" xfId="0" applyNumberFormat="1" applyFont="1" applyAlignment="1">
      <alignment/>
    </xf>
    <xf numFmtId="0" fontId="4" fillId="0" borderId="0" xfId="0" applyFont="1" applyAlignment="1">
      <alignment wrapText="1"/>
    </xf>
    <xf numFmtId="0" fontId="9" fillId="0" borderId="0" xfId="0" applyFont="1" applyAlignment="1">
      <alignment wrapText="1"/>
    </xf>
    <xf numFmtId="0" fontId="23" fillId="0" borderId="0" xfId="0" applyFont="1" applyAlignment="1">
      <alignment wrapText="1"/>
    </xf>
    <xf numFmtId="0" fontId="28" fillId="0" borderId="0" xfId="0" applyFont="1" applyAlignment="1">
      <alignment/>
    </xf>
    <xf numFmtId="0" fontId="14" fillId="0" borderId="0" xfId="0" applyFont="1" applyAlignment="1">
      <alignment/>
    </xf>
    <xf numFmtId="49" fontId="22"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8" fillId="0" borderId="0" xfId="0" applyFont="1" applyAlignment="1">
      <alignment horizontal="center"/>
    </xf>
    <xf numFmtId="0" fontId="30"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4"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22" fillId="0" borderId="0" xfId="0" applyFont="1" applyAlignment="1">
      <alignment/>
    </xf>
    <xf numFmtId="0" fontId="3" fillId="0" borderId="0" xfId="0" applyFont="1" applyAlignment="1">
      <alignment horizontal="center" vertical="center" wrapText="1"/>
    </xf>
    <xf numFmtId="0" fontId="22" fillId="0" borderId="10" xfId="0" applyFont="1" applyBorder="1" applyAlignment="1">
      <alignment horizontal="center" vertical="center" wrapText="1"/>
    </xf>
    <xf numFmtId="0" fontId="22" fillId="25" borderId="10" xfId="0" applyFont="1" applyFill="1" applyBorder="1" applyAlignment="1">
      <alignment horizontal="center" vertical="center" wrapText="1"/>
    </xf>
    <xf numFmtId="0" fontId="22"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36"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0" fontId="22" fillId="0" borderId="0" xfId="0" applyFont="1" applyBorder="1" applyAlignment="1">
      <alignment/>
    </xf>
    <xf numFmtId="0" fontId="22" fillId="0" borderId="0" xfId="0" applyFont="1" applyBorder="1" applyAlignment="1">
      <alignment vertical="center"/>
    </xf>
    <xf numFmtId="0" fontId="15" fillId="0" borderId="10" xfId="0" applyFont="1" applyBorder="1" applyAlignment="1">
      <alignment horizontal="right" wrapText="1"/>
    </xf>
    <xf numFmtId="1" fontId="15" fillId="0" borderId="10" xfId="0" applyNumberFormat="1" applyFont="1" applyBorder="1" applyAlignment="1">
      <alignment horizontal="right" wrapText="1"/>
    </xf>
    <xf numFmtId="0" fontId="15" fillId="0" borderId="0" xfId="0" applyFont="1" applyBorder="1" applyAlignment="1">
      <alignment vertical="center"/>
    </xf>
    <xf numFmtId="0" fontId="16" fillId="0" borderId="10" xfId="0" applyFont="1" applyBorder="1" applyAlignment="1">
      <alignment horizontal="right" wrapText="1"/>
    </xf>
    <xf numFmtId="1" fontId="16" fillId="0" borderId="10" xfId="0" applyNumberFormat="1" applyFont="1" applyBorder="1" applyAlignment="1">
      <alignment horizontal="right" wrapText="1"/>
    </xf>
    <xf numFmtId="0" fontId="16" fillId="0" borderId="0" xfId="0" applyFont="1" applyBorder="1" applyAlignment="1">
      <alignment vertical="center"/>
    </xf>
    <xf numFmtId="49" fontId="5" fillId="24" borderId="10" xfId="0" applyNumberFormat="1" applyFont="1" applyFill="1" applyBorder="1" applyAlignment="1">
      <alignment horizontal="center" vertical="center"/>
    </xf>
    <xf numFmtId="49" fontId="15" fillId="0" borderId="10" xfId="0" applyNumberFormat="1" applyFont="1" applyBorder="1" applyAlignment="1">
      <alignment horizontal="center" wrapText="1"/>
    </xf>
    <xf numFmtId="196" fontId="15" fillId="0" borderId="10" xfId="0" applyNumberFormat="1" applyFont="1" applyBorder="1" applyAlignment="1">
      <alignment horizontal="left" wrapText="1"/>
    </xf>
    <xf numFmtId="0" fontId="15" fillId="0" borderId="10" xfId="0" applyFont="1" applyFill="1" applyBorder="1" applyAlignment="1">
      <alignment horizontal="left" wrapText="1"/>
    </xf>
    <xf numFmtId="49" fontId="16" fillId="0" borderId="10" xfId="0" applyNumberFormat="1" applyFont="1" applyBorder="1" applyAlignment="1">
      <alignment horizontal="center" wrapText="1"/>
    </xf>
    <xf numFmtId="196" fontId="16" fillId="0" borderId="10" xfId="0" applyNumberFormat="1" applyFont="1" applyBorder="1" applyAlignment="1">
      <alignment horizontal="left" wrapText="1"/>
    </xf>
    <xf numFmtId="0" fontId="16" fillId="0" borderId="10" xfId="0" applyFont="1" applyFill="1" applyBorder="1" applyAlignment="1">
      <alignment horizontal="left" wrapText="1"/>
    </xf>
    <xf numFmtId="0" fontId="16" fillId="0" borderId="10" xfId="0" applyFont="1" applyBorder="1" applyAlignment="1">
      <alignment horizontal="left" wrapText="1"/>
    </xf>
    <xf numFmtId="49" fontId="16" fillId="0" borderId="10" xfId="0" applyNumberFormat="1" applyFont="1" applyFill="1" applyBorder="1" applyAlignment="1">
      <alignment horizontal="center"/>
    </xf>
    <xf numFmtId="0" fontId="16" fillId="0" borderId="10" xfId="0" applyFont="1" applyFill="1" applyBorder="1" applyAlignment="1">
      <alignment horizontal="center"/>
    </xf>
    <xf numFmtId="0" fontId="15" fillId="0" borderId="10" xfId="0" applyFont="1" applyBorder="1" applyAlignment="1">
      <alignment horizontal="left" wrapText="1"/>
    </xf>
    <xf numFmtId="0" fontId="15" fillId="24" borderId="10" xfId="0" applyFont="1" applyFill="1" applyBorder="1" applyAlignment="1">
      <alignment horizontal="left" vertical="center" wrapText="1"/>
    </xf>
    <xf numFmtId="49" fontId="15" fillId="0" borderId="10" xfId="0" applyNumberFormat="1" applyFont="1" applyBorder="1" applyAlignment="1">
      <alignment horizontal="center" vertical="center"/>
    </xf>
    <xf numFmtId="0" fontId="37" fillId="0" borderId="10" xfId="0" applyFont="1" applyBorder="1" applyAlignment="1">
      <alignment horizontal="left" vertical="center" wrapText="1"/>
    </xf>
    <xf numFmtId="49" fontId="16" fillId="0" borderId="10" xfId="0" applyNumberFormat="1" applyFont="1" applyBorder="1" applyAlignment="1">
      <alignment horizontal="center" vertical="center"/>
    </xf>
    <xf numFmtId="0" fontId="38" fillId="0" borderId="10" xfId="0" applyFont="1" applyBorder="1" applyAlignment="1">
      <alignment horizontal="left" vertical="center" wrapText="1"/>
    </xf>
    <xf numFmtId="0" fontId="16" fillId="24" borderId="10" xfId="0" applyFont="1" applyFill="1" applyBorder="1" applyAlignment="1">
      <alignment horizontal="left" vertical="center" wrapText="1"/>
    </xf>
    <xf numFmtId="49" fontId="15" fillId="24" borderId="10" xfId="0" applyNumberFormat="1" applyFont="1" applyFill="1" applyBorder="1" applyAlignment="1">
      <alignment horizontal="center" vertical="center"/>
    </xf>
    <xf numFmtId="0" fontId="16" fillId="0" borderId="10" xfId="0" applyFont="1" applyBorder="1" applyAlignment="1">
      <alignment horizontal="left" vertical="center" wrapText="1"/>
    </xf>
    <xf numFmtId="1" fontId="16" fillId="0" borderId="10" xfId="0" applyNumberFormat="1" applyFont="1" applyFill="1" applyBorder="1" applyAlignment="1">
      <alignment horizontal="right"/>
    </xf>
    <xf numFmtId="0" fontId="16" fillId="0" borderId="0" xfId="0" applyFont="1" applyBorder="1" applyAlignment="1">
      <alignment horizontal="center"/>
    </xf>
    <xf numFmtId="196" fontId="16" fillId="0" borderId="0" xfId="0" applyNumberFormat="1" applyFont="1" applyBorder="1" applyAlignment="1">
      <alignment horizontal="center"/>
    </xf>
    <xf numFmtId="0" fontId="16" fillId="0" borderId="0" xfId="0" applyFont="1" applyBorder="1" applyAlignment="1">
      <alignment/>
    </xf>
    <xf numFmtId="4" fontId="16" fillId="0" borderId="0" xfId="0" applyNumberFormat="1" applyFont="1" applyBorder="1" applyAlignment="1">
      <alignment/>
    </xf>
    <xf numFmtId="2" fontId="16" fillId="0" borderId="0" xfId="0" applyNumberFormat="1" applyFont="1" applyBorder="1" applyAlignment="1">
      <alignment/>
    </xf>
    <xf numFmtId="0" fontId="38" fillId="0" borderId="12" xfId="0" applyFont="1" applyBorder="1" applyAlignment="1" applyProtection="1">
      <alignment horizontal="left" wrapText="1"/>
      <protection/>
    </xf>
    <xf numFmtId="4" fontId="15" fillId="0" borderId="10" xfId="0" applyNumberFormat="1" applyFont="1" applyBorder="1" applyAlignment="1">
      <alignment horizontal="right" wrapText="1"/>
    </xf>
    <xf numFmtId="4" fontId="16" fillId="0" borderId="10" xfId="0" applyNumberFormat="1" applyFont="1" applyBorder="1" applyAlignment="1">
      <alignment horizontal="right" wrapText="1"/>
    </xf>
    <xf numFmtId="4" fontId="16" fillId="0" borderId="10" xfId="0" applyNumberFormat="1" applyFont="1" applyFill="1" applyBorder="1" applyAlignment="1">
      <alignment horizontal="right" wrapText="1"/>
    </xf>
    <xf numFmtId="0" fontId="10" fillId="0" borderId="0" xfId="0" applyFont="1" applyBorder="1" applyAlignment="1">
      <alignment vertical="center"/>
    </xf>
    <xf numFmtId="0" fontId="15" fillId="0" borderId="10" xfId="0" applyFont="1" applyBorder="1" applyAlignment="1">
      <alignment horizontal="left" vertical="center" wrapText="1"/>
    </xf>
    <xf numFmtId="49" fontId="15" fillId="7" borderId="10" xfId="0" applyNumberFormat="1" applyFont="1" applyFill="1" applyBorder="1" applyAlignment="1">
      <alignment horizontal="center" vertical="center"/>
    </xf>
    <xf numFmtId="49" fontId="15" fillId="7" borderId="10" xfId="0" applyNumberFormat="1" applyFont="1" applyFill="1" applyBorder="1" applyAlignment="1">
      <alignment horizontal="center" wrapText="1"/>
    </xf>
    <xf numFmtId="0" fontId="15" fillId="7" borderId="10" xfId="0" applyFont="1" applyFill="1" applyBorder="1" applyAlignment="1">
      <alignment horizontal="center" wrapText="1"/>
    </xf>
    <xf numFmtId="196" fontId="15" fillId="7" borderId="10" xfId="0" applyNumberFormat="1" applyFont="1" applyFill="1" applyBorder="1" applyAlignment="1">
      <alignment horizontal="left" wrapText="1"/>
    </xf>
    <xf numFmtId="0" fontId="15" fillId="7" borderId="10" xfId="0" applyFont="1" applyFill="1" applyBorder="1" applyAlignment="1">
      <alignment horizontal="left" vertical="center" wrapText="1"/>
    </xf>
    <xf numFmtId="0" fontId="15" fillId="7" borderId="10" xfId="0" applyFont="1" applyFill="1" applyBorder="1" applyAlignment="1">
      <alignment horizontal="right" wrapText="1"/>
    </xf>
    <xf numFmtId="4" fontId="15" fillId="7" borderId="10" xfId="0" applyNumberFormat="1" applyFont="1" applyFill="1" applyBorder="1" applyAlignment="1">
      <alignment horizontal="right" wrapText="1"/>
    </xf>
    <xf numFmtId="1" fontId="15" fillId="7" borderId="10" xfId="0" applyNumberFormat="1" applyFont="1" applyFill="1" applyBorder="1" applyAlignment="1">
      <alignment horizontal="right" wrapText="1"/>
    </xf>
    <xf numFmtId="0" fontId="15" fillId="7" borderId="10" xfId="0" applyFont="1" applyFill="1" applyBorder="1" applyAlignment="1">
      <alignment horizontal="left" wrapText="1"/>
    </xf>
    <xf numFmtId="4" fontId="16" fillId="24" borderId="10" xfId="0" applyNumberFormat="1" applyFont="1" applyFill="1" applyBorder="1" applyAlignment="1">
      <alignment horizontal="right" wrapText="1"/>
    </xf>
    <xf numFmtId="4" fontId="15" fillId="24" borderId="10" xfId="0" applyNumberFormat="1" applyFont="1" applyFill="1" applyBorder="1" applyAlignment="1">
      <alignment horizontal="right" wrapText="1"/>
    </xf>
    <xf numFmtId="1" fontId="16" fillId="24" borderId="10" xfId="0" applyNumberFormat="1" applyFont="1" applyFill="1" applyBorder="1" applyAlignment="1">
      <alignment horizontal="right" wrapText="1"/>
    </xf>
    <xf numFmtId="1" fontId="15" fillId="24" borderId="10" xfId="0" applyNumberFormat="1" applyFont="1" applyFill="1" applyBorder="1" applyAlignment="1">
      <alignment horizontal="right" wrapText="1"/>
    </xf>
    <xf numFmtId="0" fontId="17" fillId="0" borderId="0" xfId="0" applyFont="1" applyBorder="1" applyAlignment="1">
      <alignment vertical="center"/>
    </xf>
    <xf numFmtId="49" fontId="15" fillId="0" borderId="10" xfId="0" applyNumberFormat="1" applyFont="1" applyFill="1" applyBorder="1" applyAlignment="1">
      <alignment horizontal="center"/>
    </xf>
    <xf numFmtId="0" fontId="15" fillId="0" borderId="10" xfId="0" applyFont="1" applyFill="1" applyBorder="1" applyAlignment="1">
      <alignment horizontal="center"/>
    </xf>
    <xf numFmtId="4" fontId="15" fillId="0" borderId="10" xfId="0" applyNumberFormat="1" applyFont="1" applyFill="1" applyBorder="1" applyAlignment="1">
      <alignment horizontal="right" wrapText="1"/>
    </xf>
    <xf numFmtId="1" fontId="15" fillId="0" borderId="10" xfId="0" applyNumberFormat="1" applyFont="1" applyFill="1" applyBorder="1" applyAlignment="1">
      <alignment horizontal="right"/>
    </xf>
    <xf numFmtId="0" fontId="5" fillId="24" borderId="13" xfId="0" applyFont="1" applyFill="1" applyBorder="1" applyAlignment="1">
      <alignment horizontal="left" vertical="center" wrapText="1"/>
    </xf>
    <xf numFmtId="0" fontId="7" fillId="24" borderId="14"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vertical="center" wrapText="1"/>
    </xf>
    <xf numFmtId="0" fontId="6" fillId="24" borderId="0" xfId="0" applyFont="1" applyFill="1" applyAlignment="1">
      <alignment/>
    </xf>
    <xf numFmtId="0" fontId="5" fillId="24" borderId="15" xfId="0" applyFont="1" applyFill="1" applyBorder="1" applyAlignment="1">
      <alignment horizontal="left" vertical="center" wrapText="1"/>
    </xf>
    <xf numFmtId="0" fontId="7" fillId="24" borderId="14" xfId="0" applyFont="1" applyFill="1" applyBorder="1" applyAlignment="1">
      <alignment horizontal="left" vertical="center" wrapText="1"/>
    </xf>
    <xf numFmtId="0" fontId="5" fillId="24" borderId="14" xfId="0" applyFont="1" applyFill="1" applyBorder="1" applyAlignment="1">
      <alignment horizontal="left" vertical="center" wrapText="1"/>
    </xf>
    <xf numFmtId="4" fontId="5" fillId="24" borderId="14" xfId="0" applyNumberFormat="1" applyFont="1" applyFill="1" applyBorder="1" applyAlignment="1">
      <alignment horizontal="right" vertical="center" shrinkToFit="1"/>
    </xf>
    <xf numFmtId="0" fontId="8" fillId="24" borderId="14" xfId="0" applyFont="1" applyFill="1" applyBorder="1" applyAlignment="1">
      <alignment horizontal="center" vertical="center" wrapText="1"/>
    </xf>
    <xf numFmtId="0" fontId="14" fillId="24" borderId="14" xfId="0" applyFont="1" applyFill="1" applyBorder="1" applyAlignment="1">
      <alignment horizontal="center" vertical="center" wrapText="1"/>
    </xf>
    <xf numFmtId="49" fontId="44"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vertical="center" textRotation="180"/>
    </xf>
    <xf numFmtId="0" fontId="15" fillId="0" borderId="0" xfId="0" applyFont="1" applyBorder="1" applyAlignment="1">
      <alignment vertical="center" textRotation="180"/>
    </xf>
    <xf numFmtId="0" fontId="17" fillId="0" borderId="0" xfId="0" applyFont="1" applyBorder="1" applyAlignment="1">
      <alignment textRotation="75" wrapText="1" shrinkToFit="1"/>
    </xf>
    <xf numFmtId="0" fontId="40" fillId="0" borderId="0" xfId="0" applyFont="1" applyAlignment="1">
      <alignment textRotation="75" wrapText="1" shrinkToFit="1"/>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4" fillId="0" borderId="0" xfId="0" applyFont="1" applyBorder="1" applyAlignment="1">
      <alignment horizontal="center" textRotation="90"/>
    </xf>
    <xf numFmtId="0" fontId="16" fillId="0" borderId="0" xfId="0" applyFont="1" applyBorder="1" applyAlignment="1">
      <alignment textRotation="180"/>
    </xf>
    <xf numFmtId="0" fontId="16" fillId="0" borderId="0" xfId="0" applyFont="1" applyBorder="1" applyAlignment="1">
      <alignment/>
    </xf>
    <xf numFmtId="0" fontId="16" fillId="0" borderId="0" xfId="0" applyFont="1" applyBorder="1" applyAlignment="1">
      <alignment textRotation="90"/>
    </xf>
    <xf numFmtId="0" fontId="15" fillId="0" borderId="0" xfId="0" applyFont="1" applyBorder="1" applyAlignment="1">
      <alignment/>
    </xf>
    <xf numFmtId="0" fontId="15" fillId="0" borderId="0" xfId="0" applyFont="1" applyBorder="1" applyAlignment="1">
      <alignment textRotation="90"/>
    </xf>
    <xf numFmtId="0" fontId="16" fillId="0" borderId="0" xfId="0" applyFont="1" applyBorder="1" applyAlignment="1">
      <alignment/>
    </xf>
    <xf numFmtId="0" fontId="16" fillId="0" borderId="0" xfId="0" applyFont="1" applyBorder="1" applyAlignment="1">
      <alignment textRotation="90"/>
    </xf>
    <xf numFmtId="0" fontId="16" fillId="0" borderId="0" xfId="0" applyFont="1" applyBorder="1" applyAlignment="1">
      <alignment shrinkToFit="1"/>
    </xf>
    <xf numFmtId="0" fontId="10" fillId="0" borderId="0" xfId="0" applyFont="1" applyBorder="1" applyAlignment="1">
      <alignment/>
    </xf>
    <xf numFmtId="0" fontId="17" fillId="0" borderId="0" xfId="0" applyFont="1" applyBorder="1" applyAlignment="1">
      <alignment/>
    </xf>
    <xf numFmtId="0" fontId="17" fillId="0" borderId="0" xfId="0" applyFont="1" applyBorder="1" applyAlignment="1">
      <alignment/>
    </xf>
    <xf numFmtId="1" fontId="17" fillId="0" borderId="0" xfId="0" applyNumberFormat="1" applyFont="1" applyBorder="1" applyAlignment="1">
      <alignment shrinkToFit="1"/>
    </xf>
    <xf numFmtId="0" fontId="7" fillId="0" borderId="0" xfId="0" applyFont="1" applyBorder="1" applyAlignment="1">
      <alignment/>
    </xf>
    <xf numFmtId="2" fontId="7" fillId="0" borderId="0" xfId="0" applyNumberFormat="1" applyFont="1" applyBorder="1" applyAlignment="1">
      <alignment/>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15" fillId="0" borderId="10" xfId="0" applyFont="1" applyBorder="1" applyAlignment="1">
      <alignment horizontal="center" wrapText="1"/>
    </xf>
    <xf numFmtId="0" fontId="16" fillId="0" borderId="10" xfId="0" applyFont="1" applyBorder="1" applyAlignment="1">
      <alignment horizontal="center" wrapText="1"/>
    </xf>
    <xf numFmtId="0" fontId="15" fillId="24" borderId="10" xfId="0" applyFont="1" applyFill="1" applyBorder="1" applyAlignment="1">
      <alignment horizontal="center" wrapText="1"/>
    </xf>
    <xf numFmtId="0" fontId="15" fillId="0" borderId="10" xfId="0" applyFont="1" applyFill="1" applyBorder="1" applyAlignment="1">
      <alignment horizont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36"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4" xfId="0" applyFont="1" applyFill="1" applyBorder="1" applyAlignment="1">
      <alignment horizontal="center" vertical="center" wrapText="1"/>
    </xf>
    <xf numFmtId="49" fontId="7" fillId="24" borderId="14" xfId="0" applyNumberFormat="1"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4"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6" xfId="0" applyFont="1" applyFill="1" applyBorder="1" applyAlignment="1">
      <alignment vertical="center" wrapText="1"/>
    </xf>
    <xf numFmtId="0" fontId="7" fillId="24" borderId="16"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39"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5" xfId="0" applyFont="1" applyFill="1" applyBorder="1" applyAlignment="1">
      <alignment horizontal="center" vertical="center" wrapText="1"/>
    </xf>
    <xf numFmtId="0" fontId="5" fillId="6" borderId="14" xfId="0" applyFont="1" applyFill="1" applyBorder="1" applyAlignment="1">
      <alignment horizontal="left" vertical="center"/>
    </xf>
    <xf numFmtId="0" fontId="8" fillId="6" borderId="14" xfId="0" applyFont="1" applyFill="1" applyBorder="1" applyAlignment="1">
      <alignment horizontal="right" vertical="center"/>
    </xf>
    <xf numFmtId="4" fontId="5" fillId="6" borderId="14"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4" xfId="0" applyFont="1" applyFill="1" applyBorder="1" applyAlignment="1">
      <alignment horizontal="center" vertical="center" wrapText="1"/>
    </xf>
    <xf numFmtId="0" fontId="5" fillId="7" borderId="14" xfId="0" applyFont="1" applyFill="1" applyBorder="1" applyAlignment="1">
      <alignment horizontal="left" vertical="center"/>
    </xf>
    <xf numFmtId="0" fontId="8" fillId="7" borderId="14" xfId="0" applyFont="1" applyFill="1" applyBorder="1" applyAlignment="1">
      <alignment horizontal="right" vertical="center"/>
    </xf>
    <xf numFmtId="4" fontId="5" fillId="7" borderId="14" xfId="0" applyNumberFormat="1" applyFont="1" applyFill="1" applyBorder="1" applyAlignment="1">
      <alignment horizontal="right" vertical="center" shrinkToFit="1"/>
    </xf>
    <xf numFmtId="0" fontId="5" fillId="7" borderId="0" xfId="0" applyFont="1" applyFill="1" applyAlignment="1">
      <alignment/>
    </xf>
    <xf numFmtId="0" fontId="5" fillId="7" borderId="14" xfId="0" applyFont="1" applyFill="1" applyBorder="1" applyAlignment="1">
      <alignment vertical="center" wrapText="1"/>
    </xf>
    <xf numFmtId="0" fontId="8" fillId="7" borderId="14"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4"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4" xfId="0" applyFont="1" applyFill="1" applyBorder="1" applyAlignment="1">
      <alignment horizontal="center" vertical="center" wrapText="1"/>
    </xf>
    <xf numFmtId="197" fontId="5" fillId="7" borderId="16" xfId="49" applyNumberFormat="1" applyFont="1" applyFill="1" applyBorder="1" applyAlignment="1">
      <alignment horizontal="left" vertical="center" wrapText="1"/>
      <protection/>
    </xf>
    <xf numFmtId="0" fontId="16" fillId="24" borderId="0" xfId="0" applyFont="1" applyFill="1" applyBorder="1" applyAlignment="1">
      <alignment/>
    </xf>
    <xf numFmtId="49"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197" fontId="5" fillId="7" borderId="10" xfId="49" applyNumberFormat="1" applyFont="1" applyFill="1" applyBorder="1" applyAlignment="1">
      <alignment horizontal="left" vertical="center" wrapText="1"/>
      <protection/>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22" fillId="0" borderId="10" xfId="0" applyNumberFormat="1" applyFont="1" applyBorder="1" applyAlignment="1">
      <alignment horizont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45"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4" fillId="0" borderId="10" xfId="0" applyFont="1" applyBorder="1" applyAlignment="1">
      <alignment/>
    </xf>
    <xf numFmtId="2" fontId="16" fillId="24" borderId="0" xfId="0" applyNumberFormat="1" applyFont="1" applyFill="1" applyBorder="1" applyAlignment="1">
      <alignment/>
    </xf>
    <xf numFmtId="0" fontId="37" fillId="7" borderId="10" xfId="0" applyFont="1" applyFill="1" applyBorder="1" applyAlignment="1">
      <alignment horizontal="left" vertical="center" wrapText="1"/>
    </xf>
    <xf numFmtId="49" fontId="10" fillId="0" borderId="10" xfId="0" applyNumberFormat="1" applyFont="1" applyBorder="1" applyAlignment="1">
      <alignment horizontal="center"/>
    </xf>
    <xf numFmtId="196" fontId="10" fillId="0" borderId="10" xfId="0" applyNumberFormat="1" applyFont="1" applyBorder="1" applyAlignment="1">
      <alignment horizontal="center"/>
    </xf>
    <xf numFmtId="4" fontId="10" fillId="0" borderId="10" xfId="0" applyNumberFormat="1" applyFont="1" applyBorder="1" applyAlignment="1">
      <alignment horizontal="center"/>
    </xf>
    <xf numFmtId="4" fontId="10" fillId="0" borderId="10" xfId="0" applyNumberFormat="1" applyFont="1" applyBorder="1" applyAlignment="1">
      <alignment vertical="center"/>
    </xf>
    <xf numFmtId="4" fontId="10" fillId="0" borderId="0" xfId="0" applyNumberFormat="1" applyFont="1" applyBorder="1" applyAlignment="1">
      <alignment shrinkToFit="1"/>
    </xf>
    <xf numFmtId="0" fontId="10" fillId="0" borderId="0" xfId="0" applyFont="1" applyBorder="1" applyAlignment="1">
      <alignment/>
    </xf>
    <xf numFmtId="0" fontId="38" fillId="0" borderId="17" xfId="0" applyFont="1" applyBorder="1" applyAlignment="1" applyProtection="1">
      <alignment horizontal="left" wrapText="1"/>
      <protection/>
    </xf>
    <xf numFmtId="0" fontId="38" fillId="0" borderId="10" xfId="0" applyFont="1" applyBorder="1" applyAlignment="1" applyProtection="1">
      <alignment horizontal="left" wrapText="1"/>
      <protection/>
    </xf>
    <xf numFmtId="0" fontId="4" fillId="0" borderId="10" xfId="0" applyFont="1" applyBorder="1" applyAlignment="1">
      <alignment vertical="center" wrapText="1"/>
    </xf>
    <xf numFmtId="0" fontId="3" fillId="0" borderId="0" xfId="0" applyFont="1" applyAlignment="1">
      <alignment horizontal="center" wrapText="1"/>
    </xf>
    <xf numFmtId="0" fontId="28" fillId="0" borderId="0" xfId="0" applyFont="1" applyAlignment="1">
      <alignment horizontal="right"/>
    </xf>
    <xf numFmtId="0" fontId="14" fillId="0" borderId="0" xfId="0" applyFont="1" applyAlignment="1">
      <alignment horizontal="right" wrapText="1" shrinkToFit="1"/>
    </xf>
    <xf numFmtId="0" fontId="3" fillId="0" borderId="0" xfId="0" applyFont="1" applyAlignment="1">
      <alignment horizontal="right" wrapText="1"/>
    </xf>
    <xf numFmtId="0" fontId="14" fillId="0" borderId="14" xfId="0" applyFont="1" applyFill="1" applyBorder="1" applyAlignment="1">
      <alignment horizontal="center" vertical="center" wrapText="1"/>
    </xf>
    <xf numFmtId="0" fontId="6" fillId="0" borderId="10" xfId="0" applyFont="1" applyBorder="1" applyAlignment="1">
      <alignment vertical="center" wrapText="1"/>
    </xf>
    <xf numFmtId="0" fontId="23" fillId="0" borderId="0" xfId="0" applyFont="1" applyAlignment="1">
      <alignment/>
    </xf>
    <xf numFmtId="4" fontId="5" fillId="0" borderId="10" xfId="0" applyNumberFormat="1" applyFont="1" applyFill="1" applyBorder="1" applyAlignment="1">
      <alignment vertical="center" shrinkToFi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49" fontId="22"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4"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14" fillId="26" borderId="10" xfId="0" applyFont="1" applyFill="1" applyBorder="1" applyAlignment="1">
      <alignment horizontal="center" vertical="center" wrapText="1"/>
    </xf>
    <xf numFmtId="0" fontId="7" fillId="26" borderId="14" xfId="0" applyFont="1" applyFill="1" applyBorder="1" applyAlignment="1">
      <alignment horizontal="left" vertical="center" wrapText="1"/>
    </xf>
    <xf numFmtId="0" fontId="7" fillId="24" borderId="14"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9" fillId="24" borderId="15" xfId="0" applyFont="1" applyFill="1" applyBorder="1" applyAlignment="1">
      <alignment horizontal="left" vertical="center" wrapText="1"/>
    </xf>
    <xf numFmtId="0" fontId="14" fillId="24" borderId="14"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4"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49" fontId="6" fillId="0" borderId="10" xfId="0" applyNumberFormat="1" applyFont="1" applyBorder="1" applyAlignment="1">
      <alignment horizontal="center"/>
    </xf>
    <xf numFmtId="4" fontId="6" fillId="0" borderId="10" xfId="0" applyNumberFormat="1" applyFont="1" applyBorder="1" applyAlignment="1">
      <alignment/>
    </xf>
    <xf numFmtId="4" fontId="4" fillId="0" borderId="10" xfId="0" applyNumberFormat="1" applyFont="1" applyBorder="1" applyAlignment="1">
      <alignment/>
    </xf>
    <xf numFmtId="0" fontId="4" fillId="0" borderId="15" xfId="0" applyFont="1" applyBorder="1" applyAlignment="1">
      <alignment/>
    </xf>
    <xf numFmtId="4" fontId="63" fillId="0" borderId="10" xfId="0" applyNumberFormat="1" applyFont="1" applyBorder="1" applyAlignment="1">
      <alignment/>
    </xf>
    <xf numFmtId="49" fontId="15" fillId="4" borderId="10" xfId="0" applyNumberFormat="1" applyFont="1" applyFill="1" applyBorder="1" applyAlignment="1">
      <alignment horizontal="center" wrapText="1"/>
    </xf>
    <xf numFmtId="49" fontId="16" fillId="4" borderId="10" xfId="0" applyNumberFormat="1" applyFont="1" applyFill="1" applyBorder="1" applyAlignment="1">
      <alignment horizontal="center" wrapText="1"/>
    </xf>
    <xf numFmtId="0" fontId="15" fillId="4" borderId="10" xfId="0" applyFont="1" applyFill="1" applyBorder="1" applyAlignment="1">
      <alignment horizontal="left" vertical="center" wrapText="1"/>
    </xf>
    <xf numFmtId="0" fontId="16" fillId="4" borderId="10" xfId="0" applyFont="1" applyFill="1" applyBorder="1" applyAlignment="1">
      <alignment horizontal="center" wrapText="1"/>
    </xf>
    <xf numFmtId="4" fontId="16" fillId="4" borderId="10" xfId="0" applyNumberFormat="1" applyFont="1" applyFill="1" applyBorder="1" applyAlignment="1">
      <alignment horizontal="right" wrapText="1"/>
    </xf>
    <xf numFmtId="4" fontId="15" fillId="4" borderId="10" xfId="0" applyNumberFormat="1" applyFont="1" applyFill="1" applyBorder="1" applyAlignment="1">
      <alignment horizontal="right" wrapText="1"/>
    </xf>
    <xf numFmtId="1" fontId="16" fillId="4" borderId="10" xfId="0" applyNumberFormat="1" applyFont="1" applyFill="1" applyBorder="1" applyAlignment="1">
      <alignment horizontal="right" wrapText="1"/>
    </xf>
    <xf numFmtId="0" fontId="15" fillId="4" borderId="10" xfId="0" applyFont="1" applyFill="1" applyBorder="1" applyAlignment="1">
      <alignment horizontal="center" wrapText="1"/>
    </xf>
    <xf numFmtId="0" fontId="15" fillId="4" borderId="10" xfId="0" applyFont="1" applyFill="1" applyBorder="1" applyAlignment="1">
      <alignment horizontal="right" wrapText="1"/>
    </xf>
    <xf numFmtId="1" fontId="6" fillId="0" borderId="15" xfId="0" applyNumberFormat="1" applyFont="1" applyBorder="1" applyAlignment="1">
      <alignment horizontal="center"/>
    </xf>
    <xf numFmtId="0" fontId="63" fillId="0" borderId="18" xfId="0" applyFont="1" applyBorder="1" applyAlignment="1">
      <alignment horizontal="left" wrapText="1"/>
    </xf>
    <xf numFmtId="0" fontId="4" fillId="0" borderId="15" xfId="0" applyFont="1" applyBorder="1" applyAlignment="1">
      <alignment horizontal="center" vertical="center"/>
    </xf>
    <xf numFmtId="0" fontId="4" fillId="0" borderId="18" xfId="0" applyFont="1" applyBorder="1" applyAlignment="1">
      <alignment/>
    </xf>
    <xf numFmtId="4" fontId="63" fillId="0" borderId="19" xfId="0" applyNumberFormat="1" applyFont="1" applyBorder="1" applyAlignment="1">
      <alignment/>
    </xf>
    <xf numFmtId="49" fontId="31" fillId="0" borderId="0" xfId="0" applyNumberFormat="1" applyFont="1" applyFill="1" applyAlignment="1">
      <alignment horizontal="center" shrinkToFit="1"/>
    </xf>
    <xf numFmtId="49" fontId="29" fillId="0" borderId="0" xfId="0" applyNumberFormat="1" applyFont="1" applyFill="1" applyAlignment="1">
      <alignment horizontal="center" shrinkToFit="1"/>
    </xf>
    <xf numFmtId="0" fontId="29" fillId="0" borderId="0" xfId="0" applyFont="1" applyFill="1" applyAlignment="1">
      <alignment shrinkToFit="1"/>
    </xf>
    <xf numFmtId="2" fontId="29" fillId="0" borderId="0" xfId="0" applyNumberFormat="1" applyFont="1" applyFill="1" applyAlignment="1">
      <alignment shrinkToFit="1"/>
    </xf>
    <xf numFmtId="1" fontId="29" fillId="0" borderId="0" xfId="0" applyNumberFormat="1" applyFont="1" applyFill="1" applyAlignment="1">
      <alignment shrinkToFit="1"/>
    </xf>
    <xf numFmtId="4" fontId="16" fillId="0" borderId="10" xfId="0" applyNumberFormat="1" applyFont="1" applyBorder="1" applyAlignment="1">
      <alignment horizontal="right" shrinkToFit="1"/>
    </xf>
    <xf numFmtId="49" fontId="10" fillId="4" borderId="10" xfId="0" applyNumberFormat="1" applyFont="1" applyFill="1" applyBorder="1" applyAlignment="1">
      <alignment horizontal="center" wrapText="1"/>
    </xf>
    <xf numFmtId="196" fontId="10" fillId="4" borderId="10" xfId="0" applyNumberFormat="1" applyFont="1" applyFill="1" applyBorder="1" applyAlignment="1">
      <alignment horizontal="center" wrapText="1"/>
    </xf>
    <xf numFmtId="4" fontId="10" fillId="4" borderId="10" xfId="0" applyNumberFormat="1" applyFont="1" applyFill="1" applyBorder="1" applyAlignment="1">
      <alignment horizontal="right" wrapText="1"/>
    </xf>
    <xf numFmtId="1" fontId="15" fillId="4" borderId="10" xfId="0" applyNumberFormat="1" applyFont="1" applyFill="1" applyBorder="1" applyAlignment="1">
      <alignment horizontal="right" wrapText="1"/>
    </xf>
    <xf numFmtId="49" fontId="10" fillId="4" borderId="10" xfId="0" applyNumberFormat="1" applyFont="1" applyFill="1" applyBorder="1" applyAlignment="1">
      <alignment horizontal="center" vertical="center"/>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24" fillId="0" borderId="0" xfId="0" applyFont="1" applyAlignment="1">
      <alignment horizontal="center"/>
    </xf>
    <xf numFmtId="0" fontId="4" fillId="0" borderId="19"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5" fillId="0" borderId="0" xfId="0" applyFont="1" applyFill="1" applyAlignment="1">
      <alignment horizontal="center" wrapText="1"/>
    </xf>
    <xf numFmtId="49" fontId="3" fillId="0" borderId="16"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wrapText="1" shrinkToFit="1"/>
    </xf>
    <xf numFmtId="0" fontId="4" fillId="0" borderId="10" xfId="0" applyFont="1" applyFill="1" applyBorder="1" applyAlignment="1">
      <alignment horizontal="center" vertical="center" wrapText="1"/>
    </xf>
    <xf numFmtId="0" fontId="41" fillId="0" borderId="0" xfId="0" applyFont="1" applyAlignment="1">
      <alignment horizontal="center"/>
    </xf>
    <xf numFmtId="0" fontId="42"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10" fillId="0" borderId="0" xfId="0" applyFont="1" applyAlignment="1">
      <alignment horizontal="center"/>
    </xf>
    <xf numFmtId="0" fontId="17" fillId="0" borderId="0" xfId="0" applyFont="1" applyAlignment="1">
      <alignment horizontal="center"/>
    </xf>
    <xf numFmtId="0" fontId="3" fillId="0" borderId="0" xfId="0" applyFont="1" applyFill="1" applyAlignment="1">
      <alignment horizontal="center" wrapText="1"/>
    </xf>
    <xf numFmtId="0" fontId="3" fillId="0" borderId="10" xfId="0" applyFont="1" applyBorder="1" applyAlignment="1">
      <alignment horizontal="center" vertical="center" wrapText="1"/>
    </xf>
    <xf numFmtId="0" fontId="6" fillId="25" borderId="15" xfId="0" applyFont="1" applyFill="1" applyBorder="1" applyAlignment="1">
      <alignment horizontal="center" vertical="center"/>
    </xf>
    <xf numFmtId="0" fontId="6" fillId="25" borderId="19" xfId="0" applyFont="1" applyFill="1"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3" fillId="25" borderId="10"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wrapText="1"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8" fillId="0" borderId="21" xfId="0" applyFont="1" applyBorder="1" applyAlignment="1">
      <alignment horizontal="center"/>
    </xf>
    <xf numFmtId="0" fontId="3" fillId="0" borderId="10" xfId="0" applyFont="1" applyBorder="1" applyAlignment="1">
      <alignment vertical="center"/>
    </xf>
    <xf numFmtId="196" fontId="3" fillId="0" borderId="16"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4" fillId="0" borderId="0" xfId="0" applyFont="1" applyAlignment="1">
      <alignment horizontal="center" wrapText="1"/>
    </xf>
    <xf numFmtId="0" fontId="24" fillId="0" borderId="0" xfId="0" applyFont="1" applyFill="1" applyAlignment="1">
      <alignment horizontal="center" vertical="center" wrapText="1"/>
    </xf>
    <xf numFmtId="0" fontId="43" fillId="0" borderId="0" xfId="0" applyFont="1" applyAlignment="1">
      <alignment horizontal="center"/>
    </xf>
    <xf numFmtId="0" fontId="4" fillId="0" borderId="11" xfId="0" applyFont="1" applyBorder="1" applyAlignment="1">
      <alignment horizontal="center" shrinkToFit="1"/>
    </xf>
    <xf numFmtId="0" fontId="9" fillId="24" borderId="0" xfId="0" applyFont="1" applyFill="1" applyAlignment="1">
      <alignment horizontal="center"/>
    </xf>
    <xf numFmtId="0" fontId="24" fillId="0" borderId="10" xfId="0" applyFont="1" applyBorder="1" applyAlignment="1">
      <alignment horizontal="center" vertical="top" wrapText="1"/>
    </xf>
    <xf numFmtId="0" fontId="24" fillId="0" borderId="15"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4" xfId="0"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5"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63" fillId="0" borderId="15" xfId="0" applyFont="1" applyBorder="1" applyAlignment="1">
      <alignment horizontal="left" wrapText="1"/>
    </xf>
    <xf numFmtId="0" fontId="63" fillId="0" borderId="18" xfId="0" applyFont="1" applyBorder="1" applyAlignment="1">
      <alignment horizontal="left" wrapText="1"/>
    </xf>
    <xf numFmtId="0" fontId="63" fillId="0" borderId="19" xfId="0" applyFont="1" applyBorder="1" applyAlignment="1">
      <alignment horizontal="left" wrapText="1"/>
    </xf>
    <xf numFmtId="0" fontId="6" fillId="0" borderId="15"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5"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left"/>
    </xf>
    <xf numFmtId="1" fontId="22" fillId="0" borderId="15" xfId="0" applyNumberFormat="1" applyFont="1" applyBorder="1" applyAlignment="1">
      <alignment horizontal="center"/>
    </xf>
    <xf numFmtId="1" fontId="22" fillId="0" borderId="18" xfId="0" applyNumberFormat="1" applyFont="1" applyBorder="1" applyAlignment="1">
      <alignment horizontal="center"/>
    </xf>
    <xf numFmtId="1" fontId="22" fillId="0" borderId="19" xfId="0" applyNumberFormat="1" applyFont="1" applyBorder="1" applyAlignment="1">
      <alignment horizontal="center"/>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2" fillId="0" borderId="15"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64" fillId="0" borderId="18" xfId="0" applyFont="1" applyBorder="1" applyAlignment="1">
      <alignment horizontal="left" vertical="center" wrapText="1"/>
    </xf>
    <xf numFmtId="0" fontId="64" fillId="0" borderId="19" xfId="0" applyFont="1" applyBorder="1" applyAlignment="1">
      <alignment horizontal="left"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0" applyFont="1" applyBorder="1" applyAlignment="1">
      <alignment horizont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0"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41" fillId="0" borderId="0" xfId="0" applyFont="1" applyBorder="1" applyAlignment="1">
      <alignment horizontal="center" wrapText="1"/>
    </xf>
    <xf numFmtId="0" fontId="17" fillId="0" borderId="0" xfId="0" applyFont="1" applyBorder="1" applyAlignment="1">
      <alignment textRotation="75" wrapText="1" shrinkToFit="1"/>
    </xf>
    <xf numFmtId="0" fontId="40" fillId="0" borderId="0" xfId="0" applyFont="1" applyAlignment="1">
      <alignment textRotation="75" wrapText="1" shrinkToFit="1"/>
    </xf>
    <xf numFmtId="0" fontId="7" fillId="0" borderId="0" xfId="0" applyFont="1" applyAlignment="1">
      <alignment horizontal="center"/>
    </xf>
    <xf numFmtId="0" fontId="18"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xf numFmtId="0" fontId="7" fillId="24" borderId="15"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5" fillId="24" borderId="0" xfId="0" applyFont="1" applyFill="1" applyBorder="1" applyAlignment="1">
      <alignment horizontal="center"/>
    </xf>
    <xf numFmtId="0" fontId="3" fillId="24" borderId="16" xfId="0" applyFont="1" applyFill="1" applyBorder="1" applyAlignment="1">
      <alignment horizontal="center" vertical="center" wrapText="1"/>
    </xf>
    <xf numFmtId="0" fontId="3" fillId="24" borderId="14" xfId="0" applyFont="1" applyFill="1" applyBorder="1" applyAlignment="1">
      <alignment horizontal="center" vertical="center" wrapText="1"/>
    </xf>
    <xf numFmtId="49" fontId="3" fillId="24" borderId="16" xfId="0" applyNumberFormat="1" applyFont="1" applyFill="1" applyBorder="1" applyAlignment="1">
      <alignment horizontal="center" vertical="center" wrapText="1"/>
    </xf>
    <xf numFmtId="49" fontId="3" fillId="24" borderId="14"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7" fillId="24" borderId="16" xfId="0" applyFont="1" applyFill="1" applyBorder="1" applyAlignment="1">
      <alignment horizontal="center" vertical="center"/>
    </xf>
    <xf numFmtId="0" fontId="7" fillId="24" borderId="14"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0"/>
  <sheetViews>
    <sheetView workbookViewId="0" topLeftCell="A129">
      <selection activeCell="C149" sqref="C149"/>
    </sheetView>
  </sheetViews>
  <sheetFormatPr defaultColWidth="9.00390625" defaultRowHeight="12.75"/>
  <cols>
    <col min="1" max="1" width="14.375" style="23" customWidth="1"/>
    <col min="2" max="2" width="58.125" style="87" customWidth="1"/>
    <col min="3" max="3" width="18.75390625" style="87" customWidth="1"/>
    <col min="4" max="4" width="17.125" style="9" customWidth="1"/>
    <col min="5" max="5" width="16.125" style="9" customWidth="1"/>
    <col min="6" max="6" width="16.00390625" style="9" customWidth="1"/>
    <col min="7" max="7" width="9.125" style="9" bestFit="1" customWidth="1"/>
    <col min="8" max="16384" width="9.125" style="9" customWidth="1"/>
  </cols>
  <sheetData>
    <row r="1" spans="2:6" ht="13.5">
      <c r="B1" s="9"/>
      <c r="C1" s="9"/>
      <c r="D1" s="455" t="s">
        <v>12</v>
      </c>
      <c r="E1" s="455"/>
      <c r="F1" s="455"/>
    </row>
    <row r="2" spans="2:6" ht="13.5">
      <c r="B2" s="9"/>
      <c r="C2" s="9"/>
      <c r="D2" s="456" t="s">
        <v>1</v>
      </c>
      <c r="E2" s="456"/>
      <c r="F2" s="456"/>
    </row>
    <row r="3" spans="2:6" ht="31.5" customHeight="1">
      <c r="B3" s="9"/>
      <c r="C3" s="48"/>
      <c r="D3" s="457" t="s">
        <v>563</v>
      </c>
      <c r="E3" s="457"/>
      <c r="F3" s="457"/>
    </row>
    <row r="4" spans="2:6" ht="30.75" customHeight="1">
      <c r="B4" s="9"/>
      <c r="C4" s="359"/>
      <c r="D4" s="461" t="s">
        <v>245</v>
      </c>
      <c r="E4" s="461"/>
      <c r="F4" s="461"/>
    </row>
    <row r="5" spans="2:6" ht="13.5">
      <c r="B5" s="9"/>
      <c r="C5" s="458"/>
      <c r="D5" s="458"/>
      <c r="E5" s="458"/>
      <c r="F5" s="458"/>
    </row>
    <row r="6" ht="12.75">
      <c r="F6" s="87"/>
    </row>
    <row r="7" spans="1:6" ht="21">
      <c r="A7" s="459" t="s">
        <v>533</v>
      </c>
      <c r="B7" s="460"/>
      <c r="C7" s="460"/>
      <c r="D7" s="460"/>
      <c r="E7" s="460"/>
      <c r="F7" s="460"/>
    </row>
    <row r="8" spans="1:6" ht="17.25" customHeight="1">
      <c r="A8" s="51">
        <v>1050800000</v>
      </c>
      <c r="B8" s="8"/>
      <c r="C8" s="8"/>
      <c r="D8" s="8"/>
      <c r="E8" s="8"/>
      <c r="F8" s="8"/>
    </row>
    <row r="9" spans="1:6" ht="17.25" customHeight="1">
      <c r="A9" s="23" t="s">
        <v>13</v>
      </c>
      <c r="B9" s="47"/>
      <c r="C9" s="8"/>
      <c r="D9" s="8"/>
      <c r="E9" s="8"/>
      <c r="F9" s="8"/>
    </row>
    <row r="10" spans="3:6" ht="21" customHeight="1">
      <c r="C10" s="360"/>
      <c r="F10" s="11" t="s">
        <v>14</v>
      </c>
    </row>
    <row r="11" spans="1:11" s="2" customFormat="1" ht="13.5" customHeight="1">
      <c r="A11" s="462" t="s">
        <v>15</v>
      </c>
      <c r="B11" s="462" t="s">
        <v>16</v>
      </c>
      <c r="C11" s="467" t="s">
        <v>17</v>
      </c>
      <c r="D11" s="462" t="s">
        <v>18</v>
      </c>
      <c r="E11" s="462" t="s">
        <v>19</v>
      </c>
      <c r="F11" s="462"/>
      <c r="G11" s="109"/>
      <c r="H11" s="109"/>
      <c r="I11" s="109"/>
      <c r="J11" s="109"/>
      <c r="K11" s="109"/>
    </row>
    <row r="12" spans="1:11" s="2" customFormat="1" ht="12.75" customHeight="1">
      <c r="A12" s="462"/>
      <c r="B12" s="462"/>
      <c r="C12" s="467"/>
      <c r="D12" s="462"/>
      <c r="E12" s="462" t="s">
        <v>20</v>
      </c>
      <c r="F12" s="462" t="s">
        <v>21</v>
      </c>
      <c r="G12" s="109"/>
      <c r="H12" s="109"/>
      <c r="I12" s="109"/>
      <c r="J12" s="109"/>
      <c r="K12" s="109"/>
    </row>
    <row r="13" spans="1:11" s="2" customFormat="1" ht="13.5">
      <c r="A13" s="462"/>
      <c r="B13" s="462"/>
      <c r="C13" s="467"/>
      <c r="D13" s="462"/>
      <c r="E13" s="462"/>
      <c r="F13" s="462"/>
      <c r="G13" s="109"/>
      <c r="H13" s="109"/>
      <c r="I13" s="109"/>
      <c r="J13" s="109"/>
      <c r="K13" s="109"/>
    </row>
    <row r="14" spans="1:11" s="108" customFormat="1" ht="13.5">
      <c r="A14" s="110">
        <v>1</v>
      </c>
      <c r="B14" s="110">
        <v>2</v>
      </c>
      <c r="C14" s="111">
        <v>3</v>
      </c>
      <c r="D14" s="110">
        <v>4</v>
      </c>
      <c r="E14" s="110">
        <v>5</v>
      </c>
      <c r="F14" s="110">
        <v>6</v>
      </c>
      <c r="G14" s="112"/>
      <c r="H14" s="112"/>
      <c r="I14" s="112"/>
      <c r="J14" s="112"/>
      <c r="K14" s="112"/>
    </row>
    <row r="15" spans="1:6" ht="15">
      <c r="A15" s="56">
        <v>10000000</v>
      </c>
      <c r="B15" s="102" t="s">
        <v>22</v>
      </c>
      <c r="C15" s="113">
        <f aca="true" t="shared" si="0" ref="C15:C26">SUM(D15:E15)</f>
        <v>186157157</v>
      </c>
      <c r="D15" s="57">
        <f>D16+D24+D34+D42+D60</f>
        <v>186025067</v>
      </c>
      <c r="E15" s="57">
        <f>E16+E24+E34+E42+E60</f>
        <v>132090</v>
      </c>
      <c r="F15" s="57">
        <f>F16+F24+F34+F42+F60</f>
        <v>0</v>
      </c>
    </row>
    <row r="16" spans="1:6" ht="30.75">
      <c r="A16" s="56">
        <v>11000000</v>
      </c>
      <c r="B16" s="102" t="s">
        <v>23</v>
      </c>
      <c r="C16" s="113">
        <f t="shared" si="0"/>
        <v>116455854</v>
      </c>
      <c r="D16" s="57">
        <f>D17+D22</f>
        <v>116455854</v>
      </c>
      <c r="E16" s="57">
        <f>E17+E22</f>
        <v>0</v>
      </c>
      <c r="F16" s="57">
        <f>F17+F22</f>
        <v>0</v>
      </c>
    </row>
    <row r="17" spans="1:6" ht="15">
      <c r="A17" s="56">
        <v>11010000</v>
      </c>
      <c r="B17" s="102" t="s">
        <v>24</v>
      </c>
      <c r="C17" s="113">
        <f t="shared" si="0"/>
        <v>116430854</v>
      </c>
      <c r="D17" s="57">
        <f>SUM(D18:D21)</f>
        <v>116430854</v>
      </c>
      <c r="E17" s="57">
        <f>SUM(E18:E21)</f>
        <v>0</v>
      </c>
      <c r="F17" s="57">
        <f>SUM(F18:F21)</f>
        <v>0</v>
      </c>
    </row>
    <row r="18" spans="1:6" ht="46.5">
      <c r="A18" s="114">
        <v>11010100</v>
      </c>
      <c r="B18" s="104" t="s">
        <v>562</v>
      </c>
      <c r="C18" s="115">
        <f t="shared" si="0"/>
        <v>84137242</v>
      </c>
      <c r="D18" s="59">
        <f>77049850+3226835+1233657-3000+1400000+1229900</f>
        <v>84137242</v>
      </c>
      <c r="E18" s="59"/>
      <c r="F18" s="59"/>
    </row>
    <row r="19" spans="1:6" ht="78" customHeight="1">
      <c r="A19" s="114">
        <v>11010200</v>
      </c>
      <c r="B19" s="104" t="s">
        <v>25</v>
      </c>
      <c r="C19" s="115">
        <f t="shared" si="0"/>
        <v>10309300</v>
      </c>
      <c r="D19" s="59">
        <v>10309300</v>
      </c>
      <c r="E19" s="59"/>
      <c r="F19" s="59"/>
    </row>
    <row r="20" spans="1:6" ht="46.5">
      <c r="A20" s="114">
        <v>11010400</v>
      </c>
      <c r="B20" s="104" t="s">
        <v>26</v>
      </c>
      <c r="C20" s="115">
        <f t="shared" si="0"/>
        <v>21136562</v>
      </c>
      <c r="D20" s="59">
        <f>17409850+1401012+355000+1970700</f>
        <v>21136562</v>
      </c>
      <c r="E20" s="59"/>
      <c r="F20" s="59"/>
    </row>
    <row r="21" spans="1:6" ht="40.5" customHeight="1">
      <c r="A21" s="114">
        <v>11010500</v>
      </c>
      <c r="B21" s="104" t="s">
        <v>27</v>
      </c>
      <c r="C21" s="115">
        <f t="shared" si="0"/>
        <v>847750</v>
      </c>
      <c r="D21" s="59">
        <v>847750</v>
      </c>
      <c r="E21" s="59"/>
      <c r="F21" s="59"/>
    </row>
    <row r="22" spans="1:6" ht="26.25" customHeight="1">
      <c r="A22" s="56">
        <v>11020000</v>
      </c>
      <c r="B22" s="102" t="s">
        <v>368</v>
      </c>
      <c r="C22" s="128">
        <f t="shared" si="0"/>
        <v>25000</v>
      </c>
      <c r="D22" s="57">
        <f>SUM(D23)</f>
        <v>25000</v>
      </c>
      <c r="E22" s="57">
        <f>SUM(E23)</f>
        <v>0</v>
      </c>
      <c r="F22" s="57">
        <f>SUM(F23)</f>
        <v>0</v>
      </c>
    </row>
    <row r="23" spans="1:6" ht="40.5" customHeight="1">
      <c r="A23" s="114">
        <v>11020200</v>
      </c>
      <c r="B23" s="104" t="s">
        <v>369</v>
      </c>
      <c r="C23" s="115">
        <f t="shared" si="0"/>
        <v>25000</v>
      </c>
      <c r="D23" s="59">
        <f>5000+20000</f>
        <v>25000</v>
      </c>
      <c r="E23" s="59"/>
      <c r="F23" s="59"/>
    </row>
    <row r="24" spans="1:6" s="62" customFormat="1" ht="30.75">
      <c r="A24" s="56">
        <v>13000000</v>
      </c>
      <c r="B24" s="102" t="s">
        <v>28</v>
      </c>
      <c r="C24" s="113">
        <f t="shared" si="0"/>
        <v>471900</v>
      </c>
      <c r="D24" s="57">
        <f>D25+D30+D28+D32</f>
        <v>471900</v>
      </c>
      <c r="E24" s="57">
        <f>E25+E30</f>
        <v>0</v>
      </c>
      <c r="F24" s="57">
        <f>F25+F30</f>
        <v>0</v>
      </c>
    </row>
    <row r="25" spans="1:6" s="62" customFormat="1" ht="30.75">
      <c r="A25" s="56">
        <v>13010000</v>
      </c>
      <c r="B25" s="102" t="s">
        <v>29</v>
      </c>
      <c r="C25" s="113">
        <f t="shared" si="0"/>
        <v>427350</v>
      </c>
      <c r="D25" s="57">
        <f>SUM(D26:D27)</f>
        <v>427350</v>
      </c>
      <c r="E25" s="57">
        <f>SUM(E26:E27)</f>
        <v>0</v>
      </c>
      <c r="F25" s="57">
        <f>SUM(F26:F27)</f>
        <v>0</v>
      </c>
    </row>
    <row r="26" spans="1:6" ht="51" customHeight="1">
      <c r="A26" s="114">
        <v>13010100</v>
      </c>
      <c r="B26" s="104" t="s">
        <v>30</v>
      </c>
      <c r="C26" s="115">
        <f t="shared" si="0"/>
        <v>169150</v>
      </c>
      <c r="D26" s="59">
        <f>127150+8000+34000</f>
        <v>169150</v>
      </c>
      <c r="E26" s="59"/>
      <c r="F26" s="59"/>
    </row>
    <row r="27" spans="1:6" s="62" customFormat="1" ht="62.25">
      <c r="A27" s="114">
        <v>13010200</v>
      </c>
      <c r="B27" s="104" t="s">
        <v>31</v>
      </c>
      <c r="C27" s="115">
        <f aca="true" t="shared" si="1" ref="C27:C71">SUM(D27:E27)</f>
        <v>258200</v>
      </c>
      <c r="D27" s="59">
        <v>258200</v>
      </c>
      <c r="E27" s="59"/>
      <c r="F27" s="59"/>
    </row>
    <row r="28" spans="1:6" s="62" customFormat="1" ht="15" hidden="1">
      <c r="A28" s="56">
        <v>13020000</v>
      </c>
      <c r="B28" s="102" t="s">
        <v>457</v>
      </c>
      <c r="C28" s="113">
        <f>SUM(D28:E28)</f>
        <v>0</v>
      </c>
      <c r="D28" s="57">
        <f>SUM(D29)</f>
        <v>0</v>
      </c>
      <c r="E28" s="57">
        <f>SUM(E29)</f>
        <v>0</v>
      </c>
      <c r="F28" s="57">
        <f>SUM(F29)</f>
        <v>0</v>
      </c>
    </row>
    <row r="29" spans="1:6" s="62" customFormat="1" ht="30.75" hidden="1">
      <c r="A29" s="114">
        <v>13020200</v>
      </c>
      <c r="B29" s="104" t="s">
        <v>458</v>
      </c>
      <c r="C29" s="115">
        <f>SUM(D29:E29)</f>
        <v>0</v>
      </c>
      <c r="D29" s="59"/>
      <c r="E29" s="59"/>
      <c r="F29" s="59"/>
    </row>
    <row r="30" spans="1:6" s="62" customFormat="1" ht="30.75">
      <c r="A30" s="56">
        <v>13030000</v>
      </c>
      <c r="B30" s="102" t="s">
        <v>459</v>
      </c>
      <c r="C30" s="113">
        <f t="shared" si="1"/>
        <v>14800</v>
      </c>
      <c r="D30" s="57">
        <f>SUM(D31)</f>
        <v>14800</v>
      </c>
      <c r="E30" s="57">
        <f>SUM(E31)</f>
        <v>0</v>
      </c>
      <c r="F30" s="57">
        <f>SUM(F31)</f>
        <v>0</v>
      </c>
    </row>
    <row r="31" spans="1:6" s="62" customFormat="1" ht="30.75">
      <c r="A31" s="114">
        <v>13030100</v>
      </c>
      <c r="B31" s="104" t="s">
        <v>32</v>
      </c>
      <c r="C31" s="115">
        <f t="shared" si="1"/>
        <v>14800</v>
      </c>
      <c r="D31" s="59">
        <v>14800</v>
      </c>
      <c r="E31" s="59"/>
      <c r="F31" s="59"/>
    </row>
    <row r="32" spans="1:6" s="62" customFormat="1" ht="30.75">
      <c r="A32" s="56">
        <v>13040000</v>
      </c>
      <c r="B32" s="102" t="s">
        <v>460</v>
      </c>
      <c r="C32" s="113">
        <f>SUM(D32:E32)</f>
        <v>29750</v>
      </c>
      <c r="D32" s="57">
        <f>SUM(D33)</f>
        <v>29750</v>
      </c>
      <c r="E32" s="57">
        <f>SUM(E33)</f>
        <v>0</v>
      </c>
      <c r="F32" s="57">
        <f>SUM(F33)</f>
        <v>0</v>
      </c>
    </row>
    <row r="33" spans="1:6" s="62" customFormat="1" ht="30.75">
      <c r="A33" s="114">
        <v>13040100</v>
      </c>
      <c r="B33" s="104" t="s">
        <v>461</v>
      </c>
      <c r="C33" s="115">
        <f>SUM(D33:E33)</f>
        <v>29750</v>
      </c>
      <c r="D33" s="59">
        <v>29750</v>
      </c>
      <c r="E33" s="59"/>
      <c r="F33" s="59"/>
    </row>
    <row r="34" spans="1:6" s="62" customFormat="1" ht="15">
      <c r="A34" s="56">
        <v>14000000</v>
      </c>
      <c r="B34" s="102" t="s">
        <v>33</v>
      </c>
      <c r="C34" s="113">
        <f t="shared" si="1"/>
        <v>7269300</v>
      </c>
      <c r="D34" s="57">
        <f>D35+D37+D39</f>
        <v>7269300</v>
      </c>
      <c r="E34" s="57">
        <f>E35+E37+E39</f>
        <v>0</v>
      </c>
      <c r="F34" s="57">
        <f>F35+F37+F39</f>
        <v>0</v>
      </c>
    </row>
    <row r="35" spans="1:6" s="62" customFormat="1" ht="30.75">
      <c r="A35" s="56">
        <v>14020000</v>
      </c>
      <c r="B35" s="102" t="s">
        <v>34</v>
      </c>
      <c r="C35" s="113">
        <f t="shared" si="1"/>
        <v>878000</v>
      </c>
      <c r="D35" s="57">
        <f>SUM(D36)</f>
        <v>878000</v>
      </c>
      <c r="E35" s="57">
        <f>SUM(E36)</f>
        <v>0</v>
      </c>
      <c r="F35" s="57">
        <f>SUM(F36)</f>
        <v>0</v>
      </c>
    </row>
    <row r="36" spans="1:6" s="62" customFormat="1" ht="15">
      <c r="A36" s="114">
        <v>14021900</v>
      </c>
      <c r="B36" s="104" t="s">
        <v>35</v>
      </c>
      <c r="C36" s="115">
        <f t="shared" si="1"/>
        <v>878000</v>
      </c>
      <c r="D36" s="59">
        <f>241300+70000+187400+379300</f>
        <v>878000</v>
      </c>
      <c r="E36" s="59"/>
      <c r="F36" s="59"/>
    </row>
    <row r="37" spans="1:6" s="62" customFormat="1" ht="30.75">
      <c r="A37" s="56">
        <v>14030000</v>
      </c>
      <c r="B37" s="102" t="s">
        <v>36</v>
      </c>
      <c r="C37" s="113">
        <f t="shared" si="1"/>
        <v>3495900</v>
      </c>
      <c r="D37" s="57">
        <f>SUM(D38)</f>
        <v>3495900</v>
      </c>
      <c r="E37" s="57">
        <f>SUM(E38)</f>
        <v>0</v>
      </c>
      <c r="F37" s="57">
        <f>SUM(F38)</f>
        <v>0</v>
      </c>
    </row>
    <row r="38" spans="1:6" s="62" customFormat="1" ht="15">
      <c r="A38" s="114">
        <v>14031900</v>
      </c>
      <c r="B38" s="104" t="s">
        <v>35</v>
      </c>
      <c r="C38" s="115">
        <f t="shared" si="1"/>
        <v>3495900</v>
      </c>
      <c r="D38" s="59">
        <f>3169300+326600</f>
        <v>3495900</v>
      </c>
      <c r="E38" s="59"/>
      <c r="F38" s="59"/>
    </row>
    <row r="39" spans="1:6" s="62" customFormat="1" ht="46.5">
      <c r="A39" s="56">
        <v>14040000</v>
      </c>
      <c r="B39" s="102" t="s">
        <v>521</v>
      </c>
      <c r="C39" s="113">
        <f t="shared" si="1"/>
        <v>2895400</v>
      </c>
      <c r="D39" s="57">
        <f>SUM(D40:D41)</f>
        <v>2895400</v>
      </c>
      <c r="E39" s="57">
        <f>SUM(E40:E41)</f>
        <v>0</v>
      </c>
      <c r="F39" s="57">
        <f>SUM(F40:F41)</f>
        <v>0</v>
      </c>
    </row>
    <row r="40" spans="1:6" s="62" customFormat="1" ht="108.75">
      <c r="A40" s="114">
        <v>14040100</v>
      </c>
      <c r="B40" s="104" t="s">
        <v>522</v>
      </c>
      <c r="C40" s="115">
        <f>SUM(D40:E40)</f>
        <v>1180700</v>
      </c>
      <c r="D40" s="59">
        <v>1180700</v>
      </c>
      <c r="E40" s="59"/>
      <c r="F40" s="59"/>
    </row>
    <row r="41" spans="1:6" s="62" customFormat="1" ht="71.25" customHeight="1">
      <c r="A41" s="114">
        <v>14040200</v>
      </c>
      <c r="B41" s="104" t="s">
        <v>523</v>
      </c>
      <c r="C41" s="115">
        <f>SUM(D41:E41)</f>
        <v>1714700</v>
      </c>
      <c r="D41" s="59">
        <v>1714700</v>
      </c>
      <c r="E41" s="59"/>
      <c r="F41" s="59"/>
    </row>
    <row r="42" spans="1:6" s="62" customFormat="1" ht="46.5">
      <c r="A42" s="56">
        <v>18000000</v>
      </c>
      <c r="B42" s="102" t="s">
        <v>493</v>
      </c>
      <c r="C42" s="113">
        <f t="shared" si="1"/>
        <v>61828013</v>
      </c>
      <c r="D42" s="57">
        <f>D43+D54+D56</f>
        <v>61828013</v>
      </c>
      <c r="E42" s="57">
        <f>SUM(E43)</f>
        <v>0</v>
      </c>
      <c r="F42" s="57">
        <f>SUM(F43)</f>
        <v>0</v>
      </c>
    </row>
    <row r="43" spans="1:6" s="62" customFormat="1" ht="15">
      <c r="A43" s="56">
        <v>18010000</v>
      </c>
      <c r="B43" s="102" t="s">
        <v>37</v>
      </c>
      <c r="C43" s="113">
        <f t="shared" si="1"/>
        <v>24665917</v>
      </c>
      <c r="D43" s="57">
        <f>SUM(D44:D53)</f>
        <v>24665917</v>
      </c>
      <c r="E43" s="57">
        <f>SUM(E44:E53)</f>
        <v>0</v>
      </c>
      <c r="F43" s="57">
        <f>SUM(F44:F53)</f>
        <v>0</v>
      </c>
    </row>
    <row r="44" spans="1:6" s="62" customFormat="1" ht="46.5">
      <c r="A44" s="114">
        <v>18010100</v>
      </c>
      <c r="B44" s="104" t="s">
        <v>38</v>
      </c>
      <c r="C44" s="115">
        <f t="shared" si="1"/>
        <v>60550</v>
      </c>
      <c r="D44" s="59">
        <v>60550</v>
      </c>
      <c r="E44" s="59"/>
      <c r="F44" s="59"/>
    </row>
    <row r="45" spans="1:6" s="62" customFormat="1" ht="46.5">
      <c r="A45" s="114">
        <v>18010200</v>
      </c>
      <c r="B45" s="104" t="s">
        <v>39</v>
      </c>
      <c r="C45" s="115">
        <f t="shared" si="1"/>
        <v>452750</v>
      </c>
      <c r="D45" s="59">
        <f>131050+136700+185000</f>
        <v>452750</v>
      </c>
      <c r="E45" s="59"/>
      <c r="F45" s="59"/>
    </row>
    <row r="46" spans="1:6" s="62" customFormat="1" ht="46.5">
      <c r="A46" s="114">
        <v>18010300</v>
      </c>
      <c r="B46" s="104" t="s">
        <v>40</v>
      </c>
      <c r="C46" s="115">
        <f t="shared" si="1"/>
        <v>2060050</v>
      </c>
      <c r="D46" s="59">
        <f>1346350+200000+323800+189900</f>
        <v>2060050</v>
      </c>
      <c r="E46" s="59"/>
      <c r="F46" s="59"/>
    </row>
    <row r="47" spans="1:6" s="62" customFormat="1" ht="46.5">
      <c r="A47" s="114">
        <v>18010400</v>
      </c>
      <c r="B47" s="104" t="s">
        <v>41</v>
      </c>
      <c r="C47" s="115">
        <f t="shared" si="1"/>
        <v>1587450</v>
      </c>
      <c r="D47" s="59">
        <f>1457450+130000</f>
        <v>1587450</v>
      </c>
      <c r="E47" s="59"/>
      <c r="F47" s="59"/>
    </row>
    <row r="48" spans="1:6" s="62" customFormat="1" ht="15">
      <c r="A48" s="114">
        <v>18010500</v>
      </c>
      <c r="B48" s="104" t="s">
        <v>42</v>
      </c>
      <c r="C48" s="115">
        <f t="shared" si="1"/>
        <v>1699600</v>
      </c>
      <c r="D48" s="59">
        <f>1496500+203100</f>
        <v>1699600</v>
      </c>
      <c r="E48" s="59"/>
      <c r="F48" s="59"/>
    </row>
    <row r="49" spans="1:6" s="62" customFormat="1" ht="15">
      <c r="A49" s="114">
        <v>18010600</v>
      </c>
      <c r="B49" s="104" t="s">
        <v>43</v>
      </c>
      <c r="C49" s="115">
        <f t="shared" si="1"/>
        <v>7415432</v>
      </c>
      <c r="D49" s="59">
        <f>7052400+338032+25000</f>
        <v>7415432</v>
      </c>
      <c r="E49" s="59"/>
      <c r="F49" s="59"/>
    </row>
    <row r="50" spans="1:6" s="62" customFormat="1" ht="15">
      <c r="A50" s="114">
        <v>18010700</v>
      </c>
      <c r="B50" s="104" t="s">
        <v>44</v>
      </c>
      <c r="C50" s="115">
        <f t="shared" si="1"/>
        <v>4851660</v>
      </c>
      <c r="D50" s="59">
        <f>2316950+330000+228400+1976310</f>
        <v>4851660</v>
      </c>
      <c r="E50" s="59"/>
      <c r="F50" s="59"/>
    </row>
    <row r="51" spans="1:6" s="62" customFormat="1" ht="15">
      <c r="A51" s="114">
        <v>18010900</v>
      </c>
      <c r="B51" s="104" t="s">
        <v>45</v>
      </c>
      <c r="C51" s="115">
        <f t="shared" si="1"/>
        <v>6489675</v>
      </c>
      <c r="D51" s="59">
        <f>4714650+351625+105000+1318400</f>
        <v>6489675</v>
      </c>
      <c r="E51" s="59"/>
      <c r="F51" s="59"/>
    </row>
    <row r="52" spans="1:6" s="62" customFormat="1" ht="15">
      <c r="A52" s="114">
        <v>18011000</v>
      </c>
      <c r="B52" s="104" t="s">
        <v>546</v>
      </c>
      <c r="C52" s="115">
        <f>SUM(D52:E52)</f>
        <v>2000</v>
      </c>
      <c r="D52" s="59">
        <v>2000</v>
      </c>
      <c r="E52" s="59"/>
      <c r="F52" s="59"/>
    </row>
    <row r="53" spans="1:6" s="62" customFormat="1" ht="15">
      <c r="A53" s="114">
        <v>18011100</v>
      </c>
      <c r="B53" s="104" t="s">
        <v>46</v>
      </c>
      <c r="C53" s="115">
        <f t="shared" si="1"/>
        <v>46750</v>
      </c>
      <c r="D53" s="59">
        <v>46750</v>
      </c>
      <c r="E53" s="59"/>
      <c r="F53" s="59"/>
    </row>
    <row r="54" spans="1:6" s="62" customFormat="1" ht="15">
      <c r="A54" s="56">
        <v>18030000</v>
      </c>
      <c r="B54" s="102" t="s">
        <v>47</v>
      </c>
      <c r="C54" s="113">
        <f t="shared" si="1"/>
        <v>1300</v>
      </c>
      <c r="D54" s="57">
        <f>SUM(D55)</f>
        <v>1300</v>
      </c>
      <c r="E54" s="57">
        <f>SUM(E55)</f>
        <v>0</v>
      </c>
      <c r="F54" s="57">
        <f>SUM(F55)</f>
        <v>0</v>
      </c>
    </row>
    <row r="55" spans="1:6" s="62" customFormat="1" ht="15">
      <c r="A55" s="114">
        <v>18030200</v>
      </c>
      <c r="B55" s="104" t="s">
        <v>48</v>
      </c>
      <c r="C55" s="115">
        <f t="shared" si="1"/>
        <v>1300</v>
      </c>
      <c r="D55" s="59">
        <v>1300</v>
      </c>
      <c r="E55" s="59"/>
      <c r="F55" s="59"/>
    </row>
    <row r="56" spans="1:6" s="62" customFormat="1" ht="15">
      <c r="A56" s="56">
        <v>18050000</v>
      </c>
      <c r="B56" s="102" t="s">
        <v>49</v>
      </c>
      <c r="C56" s="113">
        <f t="shared" si="1"/>
        <v>37160796</v>
      </c>
      <c r="D56" s="57">
        <f>SUM(D57:D59)</f>
        <v>37160796</v>
      </c>
      <c r="E56" s="57">
        <f>SUM(E57:E59)</f>
        <v>0</v>
      </c>
      <c r="F56" s="57">
        <f>SUM(F57:F59)</f>
        <v>0</v>
      </c>
    </row>
    <row r="57" spans="1:6" s="62" customFormat="1" ht="15">
      <c r="A57" s="114">
        <v>18050300</v>
      </c>
      <c r="B57" s="104" t="s">
        <v>50</v>
      </c>
      <c r="C57" s="115">
        <f t="shared" si="1"/>
        <v>2113670</v>
      </c>
      <c r="D57" s="59">
        <f>1765500+348170</f>
        <v>2113670</v>
      </c>
      <c r="E57" s="59"/>
      <c r="F57" s="59"/>
    </row>
    <row r="58" spans="1:6" s="62" customFormat="1" ht="15">
      <c r="A58" s="114">
        <v>18050400</v>
      </c>
      <c r="B58" s="104" t="s">
        <v>51</v>
      </c>
      <c r="C58" s="115">
        <f t="shared" si="1"/>
        <v>18594173</v>
      </c>
      <c r="D58" s="59">
        <f>17120150+727323+746700</f>
        <v>18594173</v>
      </c>
      <c r="E58" s="59"/>
      <c r="F58" s="59"/>
    </row>
    <row r="59" spans="1:6" s="62" customFormat="1" ht="62.25">
      <c r="A59" s="114">
        <v>18050500</v>
      </c>
      <c r="B59" s="104" t="s">
        <v>52</v>
      </c>
      <c r="C59" s="115">
        <f t="shared" si="1"/>
        <v>16452953</v>
      </c>
      <c r="D59" s="59">
        <f>13329150+1710703+1413100</f>
        <v>16452953</v>
      </c>
      <c r="E59" s="59"/>
      <c r="F59" s="59"/>
    </row>
    <row r="60" spans="1:6" s="62" customFormat="1" ht="15">
      <c r="A60" s="56">
        <v>19000000</v>
      </c>
      <c r="B60" s="102" t="s">
        <v>53</v>
      </c>
      <c r="C60" s="113">
        <f t="shared" si="1"/>
        <v>132090</v>
      </c>
      <c r="D60" s="57">
        <f>D61</f>
        <v>0</v>
      </c>
      <c r="E60" s="57">
        <f>E61</f>
        <v>132090</v>
      </c>
      <c r="F60" s="57">
        <f>F61</f>
        <v>0</v>
      </c>
    </row>
    <row r="61" spans="1:6" s="62" customFormat="1" ht="15">
      <c r="A61" s="56">
        <v>19010000</v>
      </c>
      <c r="B61" s="102" t="s">
        <v>54</v>
      </c>
      <c r="C61" s="113">
        <f t="shared" si="1"/>
        <v>132090</v>
      </c>
      <c r="D61" s="57">
        <f>SUM(D62:D64)</f>
        <v>0</v>
      </c>
      <c r="E61" s="57">
        <f>SUM(E62:E64)</f>
        <v>132090</v>
      </c>
      <c r="F61" s="57">
        <f>SUM(F62:F64)</f>
        <v>0</v>
      </c>
    </row>
    <row r="62" spans="1:6" s="62" customFormat="1" ht="62.25">
      <c r="A62" s="114">
        <v>19010100</v>
      </c>
      <c r="B62" s="104" t="s">
        <v>55</v>
      </c>
      <c r="C62" s="115">
        <f t="shared" si="1"/>
        <v>39410</v>
      </c>
      <c r="D62" s="59"/>
      <c r="E62" s="59">
        <v>39410</v>
      </c>
      <c r="F62" s="59"/>
    </row>
    <row r="63" spans="1:6" s="62" customFormat="1" ht="30.75">
      <c r="A63" s="114">
        <v>19010200</v>
      </c>
      <c r="B63" s="104" t="s">
        <v>449</v>
      </c>
      <c r="C63" s="115">
        <f t="shared" si="1"/>
        <v>4860</v>
      </c>
      <c r="D63" s="59"/>
      <c r="E63" s="59">
        <v>4860</v>
      </c>
      <c r="F63" s="59"/>
    </row>
    <row r="64" spans="1:6" ht="51" customHeight="1">
      <c r="A64" s="114">
        <v>19010300</v>
      </c>
      <c r="B64" s="104" t="s">
        <v>56</v>
      </c>
      <c r="C64" s="115">
        <f t="shared" si="1"/>
        <v>87820</v>
      </c>
      <c r="D64" s="59"/>
      <c r="E64" s="59">
        <v>87820</v>
      </c>
      <c r="F64" s="59"/>
    </row>
    <row r="65" spans="1:6" ht="15">
      <c r="A65" s="56">
        <v>20000000</v>
      </c>
      <c r="B65" s="102" t="s">
        <v>57</v>
      </c>
      <c r="C65" s="113">
        <f t="shared" si="1"/>
        <v>6684010</v>
      </c>
      <c r="D65" s="57">
        <f>D66+D72+D82+D87</f>
        <v>2147900</v>
      </c>
      <c r="E65" s="57">
        <f>E66+E72+E82+E87</f>
        <v>4536110</v>
      </c>
      <c r="F65" s="57">
        <f>F66+F72+F82+F87</f>
        <v>0</v>
      </c>
    </row>
    <row r="66" spans="1:6" ht="15">
      <c r="A66" s="56">
        <v>21000000</v>
      </c>
      <c r="B66" s="102" t="s">
        <v>58</v>
      </c>
      <c r="C66" s="113">
        <f t="shared" si="1"/>
        <v>136050</v>
      </c>
      <c r="D66" s="57">
        <f>D69+D67</f>
        <v>136050</v>
      </c>
      <c r="E66" s="57">
        <f>E69</f>
        <v>0</v>
      </c>
      <c r="F66" s="57">
        <f>F69</f>
        <v>0</v>
      </c>
    </row>
    <row r="67" spans="1:6" ht="93" hidden="1">
      <c r="A67" s="56">
        <v>21010000</v>
      </c>
      <c r="B67" s="102" t="s">
        <v>467</v>
      </c>
      <c r="C67" s="113">
        <f>SUM(D67:E67)</f>
        <v>0</v>
      </c>
      <c r="D67" s="57">
        <f>SUM(D68)</f>
        <v>0</v>
      </c>
      <c r="E67" s="57">
        <f>SUM(E68:E69)</f>
        <v>0</v>
      </c>
      <c r="F67" s="57">
        <f>SUM(F68:F69)</f>
        <v>0</v>
      </c>
    </row>
    <row r="68" spans="1:6" ht="46.5" hidden="1">
      <c r="A68" s="114">
        <v>21010300</v>
      </c>
      <c r="B68" s="104" t="s">
        <v>468</v>
      </c>
      <c r="C68" s="115">
        <f>SUM(D68:E68)</f>
        <v>0</v>
      </c>
      <c r="D68" s="59"/>
      <c r="E68" s="59"/>
      <c r="F68" s="59"/>
    </row>
    <row r="69" spans="1:6" ht="15">
      <c r="A69" s="56">
        <v>21080000</v>
      </c>
      <c r="B69" s="102" t="s">
        <v>59</v>
      </c>
      <c r="C69" s="113">
        <f t="shared" si="1"/>
        <v>136050</v>
      </c>
      <c r="D69" s="57">
        <f>SUM(D70:D71)</f>
        <v>136050</v>
      </c>
      <c r="E69" s="57">
        <f>SUM(E70:E71)</f>
        <v>0</v>
      </c>
      <c r="F69" s="57">
        <f>SUM(F70:F71)</f>
        <v>0</v>
      </c>
    </row>
    <row r="70" spans="1:6" ht="15">
      <c r="A70" s="114">
        <v>21081100</v>
      </c>
      <c r="B70" s="104" t="s">
        <v>60</v>
      </c>
      <c r="C70" s="115">
        <f t="shared" si="1"/>
        <v>106850</v>
      </c>
      <c r="D70" s="59">
        <f>86550+20300</f>
        <v>106850</v>
      </c>
      <c r="E70" s="59"/>
      <c r="F70" s="59"/>
    </row>
    <row r="71" spans="1:6" ht="81.75" customHeight="1">
      <c r="A71" s="114">
        <v>21081500</v>
      </c>
      <c r="B71" s="104" t="s">
        <v>572</v>
      </c>
      <c r="C71" s="115">
        <f t="shared" si="1"/>
        <v>29200</v>
      </c>
      <c r="D71" s="59">
        <f>19200+10000</f>
        <v>29200</v>
      </c>
      <c r="E71" s="59"/>
      <c r="F71" s="59"/>
    </row>
    <row r="72" spans="1:6" ht="30.75">
      <c r="A72" s="56">
        <v>22000000</v>
      </c>
      <c r="B72" s="102" t="s">
        <v>61</v>
      </c>
      <c r="C72" s="113">
        <f aca="true" t="shared" si="2" ref="C72:C98">SUM(D72:E72)</f>
        <v>1767450</v>
      </c>
      <c r="D72" s="57">
        <f>D73+D77+D81</f>
        <v>1767450</v>
      </c>
      <c r="E72" s="57">
        <f>E73+E77+E81</f>
        <v>0</v>
      </c>
      <c r="F72" s="57">
        <f>F73+F77+F81</f>
        <v>0</v>
      </c>
    </row>
    <row r="73" spans="1:6" ht="15">
      <c r="A73" s="56">
        <v>22010000</v>
      </c>
      <c r="B73" s="102" t="s">
        <v>62</v>
      </c>
      <c r="C73" s="113">
        <f t="shared" si="2"/>
        <v>1574250</v>
      </c>
      <c r="D73" s="57">
        <f>SUM(D74:D76)</f>
        <v>1574250</v>
      </c>
      <c r="E73" s="57">
        <f>SUM(E74:E76)</f>
        <v>0</v>
      </c>
      <c r="F73" s="57">
        <f>SUM(F74:F76)</f>
        <v>0</v>
      </c>
    </row>
    <row r="74" spans="1:6" ht="46.5">
      <c r="A74" s="114">
        <v>22010300</v>
      </c>
      <c r="B74" s="104" t="s">
        <v>63</v>
      </c>
      <c r="C74" s="115">
        <f t="shared" si="2"/>
        <v>51950</v>
      </c>
      <c r="D74" s="59">
        <v>51950</v>
      </c>
      <c r="E74" s="59"/>
      <c r="F74" s="59"/>
    </row>
    <row r="75" spans="1:6" ht="15">
      <c r="A75" s="114">
        <v>22012500</v>
      </c>
      <c r="B75" s="104" t="s">
        <v>64</v>
      </c>
      <c r="C75" s="115">
        <f t="shared" si="2"/>
        <v>1110900</v>
      </c>
      <c r="D75" s="59">
        <v>1110900</v>
      </c>
      <c r="E75" s="59"/>
      <c r="F75" s="59"/>
    </row>
    <row r="76" spans="1:6" ht="33" customHeight="1">
      <c r="A76" s="114">
        <v>22012600</v>
      </c>
      <c r="B76" s="104" t="s">
        <v>65</v>
      </c>
      <c r="C76" s="115">
        <f t="shared" si="2"/>
        <v>411400</v>
      </c>
      <c r="D76" s="59">
        <f>275400+136000</f>
        <v>411400</v>
      </c>
      <c r="E76" s="59"/>
      <c r="F76" s="59"/>
    </row>
    <row r="77" spans="1:6" ht="15">
      <c r="A77" s="56">
        <v>22090000</v>
      </c>
      <c r="B77" s="102" t="s">
        <v>66</v>
      </c>
      <c r="C77" s="113">
        <f t="shared" si="2"/>
        <v>179800</v>
      </c>
      <c r="D77" s="57">
        <f>SUM(D78:D80)</f>
        <v>179800</v>
      </c>
      <c r="E77" s="57">
        <f>SUM(E78:E80)</f>
        <v>0</v>
      </c>
      <c r="F77" s="57">
        <f>SUM(F78:F80)</f>
        <v>0</v>
      </c>
    </row>
    <row r="78" spans="1:6" ht="46.5">
      <c r="A78" s="114">
        <v>22090100</v>
      </c>
      <c r="B78" s="104" t="s">
        <v>67</v>
      </c>
      <c r="C78" s="115">
        <f t="shared" si="2"/>
        <v>163650</v>
      </c>
      <c r="D78" s="59">
        <v>163650</v>
      </c>
      <c r="E78" s="59"/>
      <c r="F78" s="59"/>
    </row>
    <row r="79" spans="1:6" ht="15" hidden="1">
      <c r="A79" s="114">
        <v>22090200</v>
      </c>
      <c r="B79" s="104" t="s">
        <v>469</v>
      </c>
      <c r="C79" s="115">
        <f>SUM(D79:E79)</f>
        <v>0</v>
      </c>
      <c r="D79" s="59"/>
      <c r="E79" s="59"/>
      <c r="F79" s="59"/>
    </row>
    <row r="80" spans="1:6" ht="46.5">
      <c r="A80" s="114">
        <v>22090400</v>
      </c>
      <c r="B80" s="104" t="s">
        <v>68</v>
      </c>
      <c r="C80" s="115">
        <f t="shared" si="2"/>
        <v>16150</v>
      </c>
      <c r="D80" s="59">
        <v>16150</v>
      </c>
      <c r="E80" s="59"/>
      <c r="F80" s="59"/>
    </row>
    <row r="81" spans="1:6" s="62" customFormat="1" ht="85.5" customHeight="1">
      <c r="A81" s="56">
        <v>22130000</v>
      </c>
      <c r="B81" s="102" t="s">
        <v>82</v>
      </c>
      <c r="C81" s="113">
        <f t="shared" si="2"/>
        <v>13400</v>
      </c>
      <c r="D81" s="57">
        <v>13400</v>
      </c>
      <c r="E81" s="57"/>
      <c r="F81" s="57"/>
    </row>
    <row r="82" spans="1:6" ht="15">
      <c r="A82" s="56">
        <v>24000000</v>
      </c>
      <c r="B82" s="102" t="s">
        <v>83</v>
      </c>
      <c r="C82" s="113">
        <f t="shared" si="2"/>
        <v>257310</v>
      </c>
      <c r="D82" s="57">
        <f>D83</f>
        <v>244400</v>
      </c>
      <c r="E82" s="57">
        <f>E83</f>
        <v>12910</v>
      </c>
      <c r="F82" s="57">
        <f>F83</f>
        <v>0</v>
      </c>
    </row>
    <row r="83" spans="1:6" ht="15">
      <c r="A83" s="56">
        <v>24060000</v>
      </c>
      <c r="B83" s="102" t="s">
        <v>84</v>
      </c>
      <c r="C83" s="113">
        <f t="shared" si="2"/>
        <v>257310</v>
      </c>
      <c r="D83" s="57">
        <f>SUM(D84:D86)</f>
        <v>244400</v>
      </c>
      <c r="E83" s="57">
        <f>SUM(E84:E86)</f>
        <v>12910</v>
      </c>
      <c r="F83" s="57">
        <f>SUM(F84:F86)</f>
        <v>0</v>
      </c>
    </row>
    <row r="84" spans="1:6" ht="15">
      <c r="A84" s="114">
        <v>24060300</v>
      </c>
      <c r="B84" s="104" t="s">
        <v>84</v>
      </c>
      <c r="C84" s="115">
        <f>SUM(D84:E84)</f>
        <v>244400</v>
      </c>
      <c r="D84" s="59">
        <f>64400+180000</f>
        <v>244400</v>
      </c>
      <c r="E84" s="59"/>
      <c r="F84" s="59"/>
    </row>
    <row r="85" spans="1:6" ht="46.5">
      <c r="A85" s="114">
        <v>24062100</v>
      </c>
      <c r="B85" s="104" t="s">
        <v>450</v>
      </c>
      <c r="C85" s="115">
        <f t="shared" si="2"/>
        <v>12910</v>
      </c>
      <c r="D85" s="59"/>
      <c r="E85" s="59">
        <v>12910</v>
      </c>
      <c r="F85" s="59"/>
    </row>
    <row r="86" spans="1:6" ht="140.25" hidden="1">
      <c r="A86" s="114">
        <v>24062200</v>
      </c>
      <c r="B86" s="104" t="s">
        <v>470</v>
      </c>
      <c r="C86" s="115">
        <f>SUM(D86:E86)</f>
        <v>0</v>
      </c>
      <c r="D86" s="59"/>
      <c r="E86" s="59"/>
      <c r="F86" s="59"/>
    </row>
    <row r="87" spans="1:6" ht="15">
      <c r="A87" s="56">
        <v>25000000</v>
      </c>
      <c r="B87" s="102" t="s">
        <v>87</v>
      </c>
      <c r="C87" s="113">
        <f t="shared" si="2"/>
        <v>4523200</v>
      </c>
      <c r="D87" s="57">
        <f>D88</f>
        <v>0</v>
      </c>
      <c r="E87" s="57">
        <f>E88</f>
        <v>4523200</v>
      </c>
      <c r="F87" s="57">
        <f>F88</f>
        <v>0</v>
      </c>
    </row>
    <row r="88" spans="1:6" ht="30.75">
      <c r="A88" s="56">
        <v>25010000</v>
      </c>
      <c r="B88" s="102" t="s">
        <v>88</v>
      </c>
      <c r="C88" s="113">
        <f t="shared" si="2"/>
        <v>4523200</v>
      </c>
      <c r="D88" s="57">
        <f>SUM(D89:D90)</f>
        <v>0</v>
      </c>
      <c r="E88" s="57">
        <f>SUM(E89:E90)</f>
        <v>4523200</v>
      </c>
      <c r="F88" s="57">
        <f>SUM(F89:F90)</f>
        <v>0</v>
      </c>
    </row>
    <row r="89" spans="1:6" ht="30.75">
      <c r="A89" s="114">
        <v>25010100</v>
      </c>
      <c r="B89" s="104" t="s">
        <v>89</v>
      </c>
      <c r="C89" s="115">
        <f t="shared" si="2"/>
        <v>3903600</v>
      </c>
      <c r="D89" s="59"/>
      <c r="E89" s="59">
        <v>3903600</v>
      </c>
      <c r="F89" s="59"/>
    </row>
    <row r="90" spans="1:6" ht="43.5" customHeight="1">
      <c r="A90" s="60">
        <v>25010300</v>
      </c>
      <c r="B90" s="116" t="s">
        <v>90</v>
      </c>
      <c r="C90" s="115">
        <f t="shared" si="2"/>
        <v>619600</v>
      </c>
      <c r="D90" s="59"/>
      <c r="E90" s="59">
        <v>619600</v>
      </c>
      <c r="F90" s="59"/>
    </row>
    <row r="91" spans="1:6" ht="15">
      <c r="A91" s="56">
        <v>30000000</v>
      </c>
      <c r="B91" s="102" t="s">
        <v>91</v>
      </c>
      <c r="C91" s="113">
        <f t="shared" si="2"/>
        <v>716667</v>
      </c>
      <c r="D91" s="57">
        <f>D92+D96</f>
        <v>0</v>
      </c>
      <c r="E91" s="57">
        <f>E92+E96</f>
        <v>716667</v>
      </c>
      <c r="F91" s="57">
        <f>F92+F96</f>
        <v>716667</v>
      </c>
    </row>
    <row r="92" spans="1:6" ht="15">
      <c r="A92" s="56">
        <v>31000000</v>
      </c>
      <c r="B92" s="102" t="s">
        <v>92</v>
      </c>
      <c r="C92" s="113">
        <f t="shared" si="2"/>
        <v>430000</v>
      </c>
      <c r="D92" s="57">
        <f>D93+D95</f>
        <v>0</v>
      </c>
      <c r="E92" s="57">
        <f>E93+E95</f>
        <v>430000</v>
      </c>
      <c r="F92" s="57">
        <f>F93+F95</f>
        <v>430000</v>
      </c>
    </row>
    <row r="93" spans="1:6" ht="78" hidden="1">
      <c r="A93" s="56">
        <v>31010000</v>
      </c>
      <c r="B93" s="102" t="s">
        <v>93</v>
      </c>
      <c r="C93" s="113">
        <f t="shared" si="2"/>
        <v>0</v>
      </c>
      <c r="D93" s="57">
        <f>D94</f>
        <v>0</v>
      </c>
      <c r="E93" s="57">
        <f>E94</f>
        <v>0</v>
      </c>
      <c r="F93" s="57">
        <f>F94</f>
        <v>0</v>
      </c>
    </row>
    <row r="94" spans="1:6" ht="62.25" hidden="1">
      <c r="A94" s="114">
        <v>31010200</v>
      </c>
      <c r="B94" s="104" t="s">
        <v>94</v>
      </c>
      <c r="C94" s="115">
        <f t="shared" si="2"/>
        <v>0</v>
      </c>
      <c r="D94" s="59"/>
      <c r="E94" s="59"/>
      <c r="F94" s="59"/>
    </row>
    <row r="95" spans="1:6" s="365" customFormat="1" ht="46.5">
      <c r="A95" s="336">
        <v>31030000</v>
      </c>
      <c r="B95" s="364" t="s">
        <v>528</v>
      </c>
      <c r="C95" s="128">
        <f t="shared" si="2"/>
        <v>430000</v>
      </c>
      <c r="D95" s="126"/>
      <c r="E95" s="126">
        <v>430000</v>
      </c>
      <c r="F95" s="126">
        <v>430000</v>
      </c>
    </row>
    <row r="96" spans="1:6" s="62" customFormat="1" ht="15">
      <c r="A96" s="117">
        <v>33000000</v>
      </c>
      <c r="B96" s="118" t="s">
        <v>95</v>
      </c>
      <c r="C96" s="113">
        <f t="shared" si="2"/>
        <v>286667</v>
      </c>
      <c r="D96" s="57">
        <f>D97</f>
        <v>0</v>
      </c>
      <c r="E96" s="57">
        <f>E97</f>
        <v>286667</v>
      </c>
      <c r="F96" s="57">
        <f>F97</f>
        <v>286667</v>
      </c>
    </row>
    <row r="97" spans="1:6" s="62" customFormat="1" ht="15">
      <c r="A97" s="117">
        <v>33010000</v>
      </c>
      <c r="B97" s="118" t="s">
        <v>96</v>
      </c>
      <c r="C97" s="113">
        <f t="shared" si="2"/>
        <v>286667</v>
      </c>
      <c r="D97" s="57">
        <f>SUM(D98:D99)</f>
        <v>0</v>
      </c>
      <c r="E97" s="57">
        <f>SUM(E98:E99)</f>
        <v>286667</v>
      </c>
      <c r="F97" s="57">
        <f>SUM(F98:F99)</f>
        <v>286667</v>
      </c>
    </row>
    <row r="98" spans="1:6" ht="69" customHeight="1">
      <c r="A98" s="60">
        <v>33010100</v>
      </c>
      <c r="B98" s="116" t="s">
        <v>370</v>
      </c>
      <c r="C98" s="115">
        <f t="shared" si="2"/>
        <v>15205</v>
      </c>
      <c r="D98" s="59"/>
      <c r="E98" s="59">
        <f>5374+6554+3277</f>
        <v>15205</v>
      </c>
      <c r="F98" s="59">
        <f>5374+6554+3277</f>
        <v>15205</v>
      </c>
    </row>
    <row r="99" spans="1:6" ht="64.5" customHeight="1">
      <c r="A99" s="60">
        <v>33010500</v>
      </c>
      <c r="B99" s="116" t="s">
        <v>8</v>
      </c>
      <c r="C99" s="115">
        <f>SUM(D99:E99)</f>
        <v>271462</v>
      </c>
      <c r="D99" s="59"/>
      <c r="E99" s="59">
        <v>271462</v>
      </c>
      <c r="F99" s="59">
        <v>271462</v>
      </c>
    </row>
    <row r="100" spans="1:6" ht="15">
      <c r="A100" s="117">
        <v>50000000</v>
      </c>
      <c r="B100" s="118" t="s">
        <v>371</v>
      </c>
      <c r="C100" s="113">
        <f>SUM(D100:E100)</f>
        <v>176729</v>
      </c>
      <c r="D100" s="57">
        <f>D101</f>
        <v>0</v>
      </c>
      <c r="E100" s="57">
        <f>E101</f>
        <v>176729</v>
      </c>
      <c r="F100" s="57">
        <f>F101</f>
        <v>0</v>
      </c>
    </row>
    <row r="101" spans="1:6" ht="46.5">
      <c r="A101" s="60">
        <v>50110000</v>
      </c>
      <c r="B101" s="116" t="s">
        <v>372</v>
      </c>
      <c r="C101" s="115">
        <f>SUM(D101:E101)</f>
        <v>176729</v>
      </c>
      <c r="D101" s="59"/>
      <c r="E101" s="59">
        <f>91250+85479</f>
        <v>176729</v>
      </c>
      <c r="F101" s="59"/>
    </row>
    <row r="102" spans="1:6" ht="22.5" customHeight="1">
      <c r="A102" s="463" t="s">
        <v>97</v>
      </c>
      <c r="B102" s="464"/>
      <c r="C102" s="113">
        <f>C15+C65+C91+C100</f>
        <v>193734563</v>
      </c>
      <c r="D102" s="113">
        <f>D15+D65+D91+D100</f>
        <v>188172967</v>
      </c>
      <c r="E102" s="113">
        <f>E15+E65+E91+E100</f>
        <v>5561596</v>
      </c>
      <c r="F102" s="113">
        <f>F15+F65+F91+F100</f>
        <v>716667</v>
      </c>
    </row>
    <row r="103" spans="1:6" ht="18" customHeight="1">
      <c r="A103" s="56">
        <v>40000000</v>
      </c>
      <c r="B103" s="102" t="s">
        <v>98</v>
      </c>
      <c r="C103" s="113">
        <f aca="true" t="shared" si="3" ref="C103:C110">SUM(D103:E103)</f>
        <v>201035896.47</v>
      </c>
      <c r="D103" s="57">
        <f>D104</f>
        <v>150745937.47</v>
      </c>
      <c r="E103" s="57">
        <f>E104</f>
        <v>50289959</v>
      </c>
      <c r="F103" s="57">
        <f>F104</f>
        <v>0</v>
      </c>
    </row>
    <row r="104" spans="1:6" ht="18" customHeight="1">
      <c r="A104" s="56">
        <v>41000000</v>
      </c>
      <c r="B104" s="102" t="s">
        <v>99</v>
      </c>
      <c r="C104" s="113">
        <f t="shared" si="3"/>
        <v>201035896.47</v>
      </c>
      <c r="D104" s="57">
        <f>D105+D108+D118+D114</f>
        <v>150745937.47</v>
      </c>
      <c r="E104" s="57">
        <f>E105+E108+E118</f>
        <v>50289959</v>
      </c>
      <c r="F104" s="57">
        <f>F105+F108+F118</f>
        <v>0</v>
      </c>
    </row>
    <row r="105" spans="1:6" ht="27" customHeight="1">
      <c r="A105" s="56">
        <v>41020000</v>
      </c>
      <c r="B105" s="102" t="s">
        <v>100</v>
      </c>
      <c r="C105" s="113">
        <f t="shared" si="3"/>
        <v>47450500</v>
      </c>
      <c r="D105" s="57">
        <f>SUM(D106:D107)</f>
        <v>47450500</v>
      </c>
      <c r="E105" s="57">
        <f>SUM(E106:E107)</f>
        <v>0</v>
      </c>
      <c r="F105" s="57">
        <f>SUM(F106:F107)</f>
        <v>0</v>
      </c>
    </row>
    <row r="106" spans="1:6" ht="17.25" customHeight="1">
      <c r="A106" s="60">
        <v>41020100</v>
      </c>
      <c r="B106" s="104" t="s">
        <v>101</v>
      </c>
      <c r="C106" s="115">
        <f t="shared" si="3"/>
        <v>37253500</v>
      </c>
      <c r="D106" s="59">
        <v>37253500</v>
      </c>
      <c r="E106" s="59"/>
      <c r="F106" s="59"/>
    </row>
    <row r="107" spans="1:6" ht="93">
      <c r="A107" s="114">
        <v>41021400</v>
      </c>
      <c r="B107" s="104" t="s">
        <v>485</v>
      </c>
      <c r="C107" s="115">
        <f t="shared" si="3"/>
        <v>10197000</v>
      </c>
      <c r="D107" s="59">
        <v>10197000</v>
      </c>
      <c r="E107" s="59"/>
      <c r="F107" s="59"/>
    </row>
    <row r="108" spans="1:6" ht="23.25" customHeight="1">
      <c r="A108" s="56">
        <v>41030000</v>
      </c>
      <c r="B108" s="102" t="s">
        <v>102</v>
      </c>
      <c r="C108" s="113">
        <f>SUM(D108:E108)</f>
        <v>139254700</v>
      </c>
      <c r="D108" s="119">
        <f>SUM(D109:D113)</f>
        <v>89254700</v>
      </c>
      <c r="E108" s="119">
        <f>SUM(E109:E113)</f>
        <v>50000000</v>
      </c>
      <c r="F108" s="119">
        <f>SUM(F109:F113)</f>
        <v>0</v>
      </c>
    </row>
    <row r="109" spans="1:6" ht="49.5" customHeight="1">
      <c r="A109" s="60">
        <v>41033100</v>
      </c>
      <c r="B109" s="104" t="s">
        <v>118</v>
      </c>
      <c r="C109" s="115">
        <f t="shared" si="3"/>
        <v>50000000</v>
      </c>
      <c r="D109" s="105"/>
      <c r="E109" s="105">
        <v>50000000</v>
      </c>
      <c r="F109" s="105"/>
    </row>
    <row r="110" spans="1:6" ht="28.5" customHeight="1">
      <c r="A110" s="60">
        <v>41033900</v>
      </c>
      <c r="B110" s="104" t="s">
        <v>103</v>
      </c>
      <c r="C110" s="115">
        <f t="shared" si="3"/>
        <v>89254700</v>
      </c>
      <c r="D110" s="105">
        <v>89254700</v>
      </c>
      <c r="E110" s="105"/>
      <c r="F110" s="105"/>
    </row>
    <row r="111" spans="1:6" ht="46.5" hidden="1">
      <c r="A111" s="60">
        <v>41034500</v>
      </c>
      <c r="B111" s="358" t="s">
        <v>104</v>
      </c>
      <c r="C111" s="115">
        <f>SUM(D111:E111)</f>
        <v>0</v>
      </c>
      <c r="D111" s="105"/>
      <c r="E111" s="105"/>
      <c r="F111" s="105"/>
    </row>
    <row r="112" spans="1:6" ht="46.5" hidden="1">
      <c r="A112" s="60">
        <v>41035200</v>
      </c>
      <c r="B112" s="104" t="s">
        <v>373</v>
      </c>
      <c r="C112" s="115">
        <f>SUM(D112:E112)</f>
        <v>0</v>
      </c>
      <c r="D112" s="105"/>
      <c r="E112" s="105"/>
      <c r="F112" s="105"/>
    </row>
    <row r="113" spans="1:6" ht="56.25" customHeight="1" hidden="1">
      <c r="A113" s="60">
        <v>41035500</v>
      </c>
      <c r="B113" s="104" t="s">
        <v>433</v>
      </c>
      <c r="C113" s="115">
        <f>SUM(D113:E113)</f>
        <v>0</v>
      </c>
      <c r="D113" s="105"/>
      <c r="E113" s="105"/>
      <c r="F113" s="105"/>
    </row>
    <row r="114" spans="1:6" ht="30" customHeight="1">
      <c r="A114" s="56">
        <v>41040000</v>
      </c>
      <c r="B114" s="102" t="s">
        <v>105</v>
      </c>
      <c r="C114" s="113">
        <f>SUM(C115:C117)</f>
        <v>1963300</v>
      </c>
      <c r="D114" s="120">
        <f>SUM(D115:D117)</f>
        <v>1963300</v>
      </c>
      <c r="E114" s="120">
        <f>SUM(E115:E117)</f>
        <v>0</v>
      </c>
      <c r="F114" s="120">
        <f>SUM(F115:F117)</f>
        <v>0</v>
      </c>
    </row>
    <row r="115" spans="1:6" ht="67.5" customHeight="1">
      <c r="A115" s="60">
        <v>41040200</v>
      </c>
      <c r="B115" s="104" t="s">
        <v>106</v>
      </c>
      <c r="C115" s="115">
        <f>D115</f>
        <v>1963300</v>
      </c>
      <c r="D115" s="105">
        <v>1963300</v>
      </c>
      <c r="E115" s="105"/>
      <c r="F115" s="105"/>
    </row>
    <row r="116" spans="1:6" ht="30.75" customHeight="1" hidden="1">
      <c r="A116" s="60">
        <v>41040400</v>
      </c>
      <c r="B116" s="104" t="s">
        <v>512</v>
      </c>
      <c r="C116" s="115">
        <f>D116</f>
        <v>0</v>
      </c>
      <c r="D116" s="105"/>
      <c r="E116" s="105"/>
      <c r="F116" s="105"/>
    </row>
    <row r="117" spans="1:6" ht="98.25" customHeight="1" hidden="1">
      <c r="A117" s="114">
        <v>41040500</v>
      </c>
      <c r="B117" s="104" t="s">
        <v>496</v>
      </c>
      <c r="C117" s="115">
        <f>SUM(D117:E117)</f>
        <v>0</v>
      </c>
      <c r="D117" s="105"/>
      <c r="E117" s="105"/>
      <c r="F117" s="105"/>
    </row>
    <row r="118" spans="1:6" ht="31.5" customHeight="1">
      <c r="A118" s="56">
        <v>41050000</v>
      </c>
      <c r="B118" s="102" t="s">
        <v>107</v>
      </c>
      <c r="C118" s="113">
        <f aca="true" t="shared" si="4" ref="C118:C129">SUM(D118:E118)</f>
        <v>12367396.469999999</v>
      </c>
      <c r="D118" s="119">
        <f>SUM(D119:D129)</f>
        <v>12077437.469999999</v>
      </c>
      <c r="E118" s="119">
        <f>SUM(E119:E129)</f>
        <v>289959</v>
      </c>
      <c r="F118" s="119">
        <f>SUM(F119:F129)</f>
        <v>0</v>
      </c>
    </row>
    <row r="119" spans="1:6" ht="320.25" customHeight="1">
      <c r="A119" s="114">
        <v>41050400</v>
      </c>
      <c r="B119" s="104" t="s">
        <v>462</v>
      </c>
      <c r="C119" s="115">
        <f>SUM(D119:E119)</f>
        <v>8361663.359999999</v>
      </c>
      <c r="D119" s="59">
        <f>8664845.76-303182.4</f>
        <v>8361663.359999999</v>
      </c>
      <c r="E119" s="59"/>
      <c r="F119" s="119"/>
    </row>
    <row r="120" spans="1:6" ht="53.25" customHeight="1">
      <c r="A120" s="114">
        <v>41051000</v>
      </c>
      <c r="B120" s="104" t="s">
        <v>108</v>
      </c>
      <c r="C120" s="115">
        <f t="shared" si="4"/>
        <v>3240519</v>
      </c>
      <c r="D120" s="59">
        <f>2950560</f>
        <v>2950560</v>
      </c>
      <c r="E120" s="59">
        <f>289959</f>
        <v>289959</v>
      </c>
      <c r="F120" s="59"/>
    </row>
    <row r="121" spans="1:6" ht="54.75" customHeight="1">
      <c r="A121" s="114">
        <v>41051200</v>
      </c>
      <c r="B121" s="104" t="s">
        <v>112</v>
      </c>
      <c r="C121" s="115">
        <f t="shared" si="4"/>
        <v>594526</v>
      </c>
      <c r="D121" s="59">
        <f>594526</f>
        <v>594526</v>
      </c>
      <c r="E121" s="59"/>
      <c r="F121" s="59"/>
    </row>
    <row r="122" spans="1:6" ht="65.25" customHeight="1" hidden="1">
      <c r="A122" s="114">
        <v>41051400</v>
      </c>
      <c r="B122" s="104" t="s">
        <v>113</v>
      </c>
      <c r="C122" s="115">
        <f t="shared" si="4"/>
        <v>0</v>
      </c>
      <c r="D122" s="59"/>
      <c r="E122" s="59"/>
      <c r="F122" s="59"/>
    </row>
    <row r="123" spans="1:6" ht="51.75" customHeight="1" hidden="1">
      <c r="A123" s="114">
        <v>41051500</v>
      </c>
      <c r="B123" s="104" t="s">
        <v>114</v>
      </c>
      <c r="C123" s="115">
        <f t="shared" si="4"/>
        <v>0</v>
      </c>
      <c r="D123" s="59"/>
      <c r="E123" s="59"/>
      <c r="F123" s="59"/>
    </row>
    <row r="124" spans="1:6" ht="66" customHeight="1">
      <c r="A124" s="114">
        <v>41051700</v>
      </c>
      <c r="B124" s="104" t="s">
        <v>374</v>
      </c>
      <c r="C124" s="115">
        <f t="shared" si="4"/>
        <v>111826</v>
      </c>
      <c r="D124" s="59">
        <f>111826</f>
        <v>111826</v>
      </c>
      <c r="E124" s="59"/>
      <c r="F124" s="59"/>
    </row>
    <row r="125" spans="1:6" ht="22.5" customHeight="1" hidden="1">
      <c r="A125" s="60">
        <v>41053900</v>
      </c>
      <c r="B125" s="104" t="s">
        <v>115</v>
      </c>
      <c r="C125" s="115">
        <f t="shared" si="4"/>
        <v>0</v>
      </c>
      <c r="D125" s="59">
        <f>874700-874700</f>
        <v>0</v>
      </c>
      <c r="E125" s="59"/>
      <c r="F125" s="59"/>
    </row>
    <row r="126" spans="1:6" ht="49.5" customHeight="1" hidden="1">
      <c r="A126" s="60">
        <v>41054300</v>
      </c>
      <c r="B126" s="104" t="s">
        <v>116</v>
      </c>
      <c r="C126" s="115">
        <f t="shared" si="4"/>
        <v>0</v>
      </c>
      <c r="D126" s="59"/>
      <c r="E126" s="59"/>
      <c r="F126" s="59"/>
    </row>
    <row r="127" spans="1:6" ht="48" customHeight="1" hidden="1">
      <c r="A127" s="60">
        <v>41055000</v>
      </c>
      <c r="B127" s="104" t="s">
        <v>117</v>
      </c>
      <c r="C127" s="115">
        <f t="shared" si="4"/>
        <v>0</v>
      </c>
      <c r="D127" s="59"/>
      <c r="E127" s="59"/>
      <c r="F127" s="59"/>
    </row>
    <row r="128" spans="1:6" ht="78.75" customHeight="1" hidden="1">
      <c r="A128" s="114">
        <v>41055100</v>
      </c>
      <c r="B128" s="104" t="s">
        <v>127</v>
      </c>
      <c r="C128" s="115">
        <f t="shared" si="4"/>
        <v>0</v>
      </c>
      <c r="D128" s="59"/>
      <c r="E128" s="59"/>
      <c r="F128" s="59"/>
    </row>
    <row r="129" spans="1:6" ht="72.75" customHeight="1">
      <c r="A129" s="60">
        <v>41057700</v>
      </c>
      <c r="B129" s="104" t="s">
        <v>177</v>
      </c>
      <c r="C129" s="115">
        <f t="shared" si="4"/>
        <v>58862.110000000015</v>
      </c>
      <c r="D129" s="59">
        <f>88279.71-19617.6-9800</f>
        <v>58862.110000000015</v>
      </c>
      <c r="E129" s="59"/>
      <c r="F129" s="59"/>
    </row>
    <row r="130" spans="1:6" ht="17.25" customHeight="1">
      <c r="A130" s="121" t="s">
        <v>128</v>
      </c>
      <c r="B130" s="122" t="s">
        <v>129</v>
      </c>
      <c r="C130" s="113">
        <f>C102+C103</f>
        <v>394770459.47</v>
      </c>
      <c r="D130" s="113">
        <f>D102+D103</f>
        <v>338918904.47</v>
      </c>
      <c r="E130" s="113">
        <f>E102+E103</f>
        <v>55851555</v>
      </c>
      <c r="F130" s="113">
        <f>F102+F103</f>
        <v>716667</v>
      </c>
    </row>
    <row r="131" spans="4:6" ht="12.75">
      <c r="D131" s="123"/>
      <c r="E131" s="123"/>
      <c r="F131" s="123"/>
    </row>
    <row r="132" spans="1:6" s="3" customFormat="1" ht="38.25" customHeight="1">
      <c r="A132" s="465" t="s">
        <v>532</v>
      </c>
      <c r="B132" s="466"/>
      <c r="C132" s="466"/>
      <c r="D132" s="466"/>
      <c r="E132" s="466"/>
      <c r="F132" s="466"/>
    </row>
    <row r="133" spans="4:6" ht="12.75">
      <c r="D133" s="123"/>
      <c r="E133" s="123"/>
      <c r="F133" s="123"/>
    </row>
    <row r="134" spans="4:6" ht="12.75">
      <c r="D134" s="123"/>
      <c r="E134" s="123"/>
      <c r="F134" s="123"/>
    </row>
    <row r="135" spans="4:6" ht="12.75">
      <c r="D135" s="124"/>
      <c r="E135" s="124"/>
      <c r="F135" s="123"/>
    </row>
    <row r="136" spans="4:6" ht="12.75">
      <c r="D136" s="123"/>
      <c r="E136" s="123"/>
      <c r="F136" s="123"/>
    </row>
    <row r="137" spans="4:6" ht="12.75">
      <c r="D137" s="123"/>
      <c r="E137" s="123"/>
      <c r="F137" s="123"/>
    </row>
    <row r="138" spans="4:6" ht="12.75">
      <c r="D138" s="123"/>
      <c r="E138" s="123"/>
      <c r="F138" s="123"/>
    </row>
    <row r="139" spans="4:6" ht="12.75">
      <c r="D139" s="123"/>
      <c r="E139" s="123"/>
      <c r="F139" s="123"/>
    </row>
    <row r="140" spans="4:6" ht="12.75">
      <c r="D140" s="123"/>
      <c r="E140" s="123"/>
      <c r="F140" s="123"/>
    </row>
    <row r="141" spans="4:6" ht="12.75">
      <c r="D141" s="123"/>
      <c r="E141" s="123"/>
      <c r="F141" s="123"/>
    </row>
    <row r="142" spans="4:6" ht="12.75">
      <c r="D142" s="123"/>
      <c r="E142" s="123"/>
      <c r="F142" s="123"/>
    </row>
    <row r="143" spans="4:6" ht="12.75">
      <c r="D143" s="123"/>
      <c r="E143" s="123"/>
      <c r="F143" s="123"/>
    </row>
    <row r="144" spans="4:6" ht="12.75">
      <c r="D144" s="123"/>
      <c r="E144" s="123"/>
      <c r="F144" s="123"/>
    </row>
    <row r="145" spans="4:6" ht="12.75">
      <c r="D145" s="123"/>
      <c r="E145" s="123"/>
      <c r="F145" s="123"/>
    </row>
    <row r="146" spans="4:6" ht="12.75">
      <c r="D146" s="123"/>
      <c r="E146" s="123"/>
      <c r="F146" s="123"/>
    </row>
    <row r="147" spans="4:6" ht="12.75">
      <c r="D147" s="123"/>
      <c r="E147" s="123"/>
      <c r="F147" s="123"/>
    </row>
    <row r="148" spans="4:6" ht="12.75">
      <c r="D148" s="123"/>
      <c r="E148" s="123"/>
      <c r="F148" s="123"/>
    </row>
    <row r="149" spans="4:6" ht="12.75">
      <c r="D149" s="123"/>
      <c r="E149" s="123"/>
      <c r="F149" s="123"/>
    </row>
    <row r="150" spans="4:6" ht="12.75">
      <c r="D150" s="123"/>
      <c r="E150" s="123"/>
      <c r="F150" s="123"/>
    </row>
    <row r="151" spans="4:6" ht="12.75">
      <c r="D151" s="123"/>
      <c r="E151" s="123"/>
      <c r="F151" s="123"/>
    </row>
    <row r="152" spans="4:6" ht="12.75">
      <c r="D152" s="123"/>
      <c r="E152" s="123"/>
      <c r="F152" s="123"/>
    </row>
    <row r="153" spans="4:6" ht="12.75">
      <c r="D153" s="123"/>
      <c r="E153" s="123"/>
      <c r="F153" s="123"/>
    </row>
    <row r="154" spans="4:6" ht="12.75">
      <c r="D154" s="123"/>
      <c r="E154" s="123"/>
      <c r="F154" s="123"/>
    </row>
    <row r="155" spans="4:6" ht="12.75">
      <c r="D155" s="123"/>
      <c r="E155" s="123"/>
      <c r="F155" s="123"/>
    </row>
    <row r="156" spans="4:6" ht="12.75">
      <c r="D156" s="123"/>
      <c r="E156" s="123"/>
      <c r="F156" s="123"/>
    </row>
    <row r="157" spans="4:6" ht="12.75">
      <c r="D157" s="123"/>
      <c r="E157" s="123"/>
      <c r="F157" s="123"/>
    </row>
    <row r="158" spans="4:6" ht="12.75">
      <c r="D158" s="123"/>
      <c r="E158" s="123"/>
      <c r="F158" s="123"/>
    </row>
    <row r="159" spans="4:6" ht="12.75">
      <c r="D159" s="123"/>
      <c r="E159" s="123"/>
      <c r="F159" s="123"/>
    </row>
    <row r="160" spans="4:6" ht="12.75">
      <c r="D160" s="123"/>
      <c r="E160" s="123"/>
      <c r="F160" s="123"/>
    </row>
    <row r="161" spans="4:6" ht="12.75">
      <c r="D161" s="123"/>
      <c r="E161" s="123"/>
      <c r="F161" s="123"/>
    </row>
    <row r="162" spans="4:6" ht="12.75">
      <c r="D162" s="123"/>
      <c r="E162" s="123"/>
      <c r="F162" s="123"/>
    </row>
    <row r="163" spans="4:6" ht="12.75">
      <c r="D163" s="123"/>
      <c r="E163" s="123"/>
      <c r="F163" s="123"/>
    </row>
    <row r="164" spans="4:6" ht="12.75">
      <c r="D164" s="123"/>
      <c r="E164" s="123"/>
      <c r="F164" s="123"/>
    </row>
    <row r="165" spans="4:6" ht="12.75">
      <c r="D165" s="123"/>
      <c r="E165" s="123"/>
      <c r="F165" s="123"/>
    </row>
    <row r="166" spans="4:6" ht="12.75">
      <c r="D166" s="123"/>
      <c r="E166" s="123"/>
      <c r="F166" s="123"/>
    </row>
    <row r="167" spans="4:6" ht="12.75">
      <c r="D167" s="123"/>
      <c r="E167" s="123"/>
      <c r="F167" s="123"/>
    </row>
    <row r="168" spans="4:6" ht="12.75">
      <c r="D168" s="123"/>
      <c r="E168" s="123"/>
      <c r="F168" s="123"/>
    </row>
    <row r="169" spans="4:6" ht="12.75">
      <c r="D169" s="123"/>
      <c r="E169" s="123"/>
      <c r="F169" s="123"/>
    </row>
    <row r="170" spans="4:6" ht="12.75">
      <c r="D170" s="123"/>
      <c r="E170" s="123"/>
      <c r="F170" s="123"/>
    </row>
    <row r="171" spans="4:6" ht="12.75">
      <c r="D171" s="123"/>
      <c r="E171" s="123"/>
      <c r="F171" s="123"/>
    </row>
    <row r="172" spans="4:6" ht="12.75">
      <c r="D172" s="123"/>
      <c r="E172" s="123"/>
      <c r="F172" s="123"/>
    </row>
    <row r="173" spans="4:6" ht="12.75">
      <c r="D173" s="123"/>
      <c r="E173" s="123"/>
      <c r="F173" s="123"/>
    </row>
    <row r="174" spans="4:6" ht="12.75">
      <c r="D174" s="123"/>
      <c r="E174" s="123"/>
      <c r="F174" s="123"/>
    </row>
    <row r="175" spans="4:6" ht="12.75">
      <c r="D175" s="123"/>
      <c r="E175" s="123"/>
      <c r="F175" s="123"/>
    </row>
    <row r="176" spans="4:6" ht="12.75">
      <c r="D176" s="123"/>
      <c r="E176" s="123"/>
      <c r="F176" s="123"/>
    </row>
    <row r="177" spans="4:6" ht="12.75">
      <c r="D177" s="123"/>
      <c r="E177" s="123"/>
      <c r="F177" s="123"/>
    </row>
    <row r="178" spans="4:6" ht="12.75">
      <c r="D178" s="123"/>
      <c r="E178" s="123"/>
      <c r="F178" s="123"/>
    </row>
    <row r="179" spans="4:6" ht="12.75">
      <c r="D179" s="123"/>
      <c r="E179" s="123"/>
      <c r="F179" s="123"/>
    </row>
    <row r="180" spans="4:6" ht="12.75">
      <c r="D180" s="123"/>
      <c r="E180" s="123"/>
      <c r="F180" s="123"/>
    </row>
    <row r="181" spans="4:6" ht="12.75">
      <c r="D181" s="123"/>
      <c r="E181" s="123"/>
      <c r="F181" s="123"/>
    </row>
    <row r="182" spans="4:6" ht="12.75">
      <c r="D182" s="123"/>
      <c r="E182" s="123"/>
      <c r="F182" s="123"/>
    </row>
    <row r="183" spans="4:6" ht="12.75">
      <c r="D183" s="123"/>
      <c r="E183" s="123"/>
      <c r="F183" s="123"/>
    </row>
    <row r="184" spans="4:6" ht="12.75">
      <c r="D184" s="123"/>
      <c r="E184" s="123"/>
      <c r="F184" s="123"/>
    </row>
    <row r="185" spans="4:6" ht="12.75">
      <c r="D185" s="123"/>
      <c r="E185" s="123"/>
      <c r="F185" s="123"/>
    </row>
    <row r="186" spans="4:6" ht="12.75">
      <c r="D186" s="123"/>
      <c r="E186" s="123"/>
      <c r="F186" s="123"/>
    </row>
    <row r="187" spans="4:6" ht="12.75">
      <c r="D187" s="123"/>
      <c r="E187" s="123"/>
      <c r="F187" s="123"/>
    </row>
    <row r="188" spans="4:6" ht="12.75">
      <c r="D188" s="123"/>
      <c r="E188" s="123"/>
      <c r="F188" s="123"/>
    </row>
    <row r="189" spans="4:6" ht="12.75">
      <c r="D189" s="123"/>
      <c r="E189" s="123"/>
      <c r="F189" s="123"/>
    </row>
    <row r="190" spans="4:6" ht="12.75">
      <c r="D190" s="123"/>
      <c r="E190" s="123"/>
      <c r="F190" s="123"/>
    </row>
    <row r="191" spans="4:6" ht="12.75">
      <c r="D191" s="123"/>
      <c r="E191" s="123"/>
      <c r="F191" s="123"/>
    </row>
    <row r="192" spans="4:6" ht="12.75">
      <c r="D192" s="123"/>
      <c r="E192" s="123"/>
      <c r="F192" s="123"/>
    </row>
    <row r="193" spans="4:6" ht="12.75">
      <c r="D193" s="123"/>
      <c r="E193" s="123"/>
      <c r="F193" s="123"/>
    </row>
    <row r="194" spans="4:6" ht="12.75">
      <c r="D194" s="123"/>
      <c r="E194" s="123"/>
      <c r="F194" s="123"/>
    </row>
    <row r="195" spans="4:6" ht="12.75">
      <c r="D195" s="123"/>
      <c r="E195" s="123"/>
      <c r="F195" s="123"/>
    </row>
    <row r="196" spans="4:6" ht="12.75">
      <c r="D196" s="123"/>
      <c r="E196" s="123"/>
      <c r="F196" s="123"/>
    </row>
    <row r="197" spans="4:6" ht="12.75">
      <c r="D197" s="123"/>
      <c r="E197" s="123"/>
      <c r="F197" s="123"/>
    </row>
    <row r="198" spans="4:6" ht="12.75">
      <c r="D198" s="123"/>
      <c r="E198" s="123"/>
      <c r="F198" s="123"/>
    </row>
    <row r="199" spans="4:6" ht="12.75">
      <c r="D199" s="123"/>
      <c r="E199" s="123"/>
      <c r="F199" s="123"/>
    </row>
    <row r="200" spans="4:6" ht="12.75">
      <c r="D200" s="123"/>
      <c r="E200" s="123"/>
      <c r="F200" s="123"/>
    </row>
  </sheetData>
  <sheetProtection/>
  <mergeCells count="15">
    <mergeCell ref="A132:F132"/>
    <mergeCell ref="A11:A13"/>
    <mergeCell ref="B11:B13"/>
    <mergeCell ref="C11:C13"/>
    <mergeCell ref="D11:D13"/>
    <mergeCell ref="E12:E13"/>
    <mergeCell ref="F12:F13"/>
    <mergeCell ref="A7:F7"/>
    <mergeCell ref="D4:F4"/>
    <mergeCell ref="E11:F11"/>
    <mergeCell ref="A102:B102"/>
    <mergeCell ref="D1:F1"/>
    <mergeCell ref="D2:F2"/>
    <mergeCell ref="D3:F3"/>
    <mergeCell ref="C5:F5"/>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1">
      <selection activeCell="D23" sqref="D23"/>
    </sheetView>
  </sheetViews>
  <sheetFormatPr defaultColWidth="9.00390625" defaultRowHeight="12.75"/>
  <cols>
    <col min="1" max="1" width="15.375" style="6" customWidth="1"/>
    <col min="2" max="2" width="40.75390625" style="3" customWidth="1"/>
    <col min="3" max="3" width="16.625" style="3" customWidth="1"/>
    <col min="4" max="4" width="17.625" style="3" customWidth="1"/>
    <col min="5" max="5" width="17.75390625" style="3" customWidth="1"/>
    <col min="6" max="6" width="17.25390625" style="3" customWidth="1"/>
    <col min="7" max="7" width="18.75390625" style="3" customWidth="1"/>
    <col min="8" max="8" width="9.125" style="3" bestFit="1" customWidth="1"/>
    <col min="9" max="16384" width="9.125" style="3" customWidth="1"/>
  </cols>
  <sheetData>
    <row r="1" ht="15">
      <c r="B1" s="9"/>
    </row>
    <row r="2" spans="4:6" ht="15">
      <c r="D2" s="455" t="s">
        <v>130</v>
      </c>
      <c r="E2" s="455"/>
      <c r="F2" s="455"/>
    </row>
    <row r="3" spans="4:6" ht="15">
      <c r="D3" s="455" t="str">
        <f>додаток1!D2</f>
        <v>до рішення сімнадцятої сесії Тетіївської міської ради</v>
      </c>
      <c r="E3" s="455"/>
      <c r="F3" s="455"/>
    </row>
    <row r="4" spans="4:6" ht="31.5" customHeight="1">
      <c r="D4" s="468" t="str">
        <f>додаток1!D3</f>
        <v>"Про бюджет Тетіївської міської територіальної громади на 2023 рік" від 20.12.2022 № 772-17-VIII</v>
      </c>
      <c r="E4" s="468"/>
      <c r="F4" s="468"/>
    </row>
    <row r="5" spans="4:8" ht="28.5" customHeight="1">
      <c r="D5" s="469" t="str">
        <f>додаток1!D4</f>
        <v>(в редакції рішення двадцять третьої сесії Тетіївської міської ради від 26.10.2023 № 1037-23-VIII)</v>
      </c>
      <c r="E5" s="469"/>
      <c r="F5" s="469"/>
      <c r="G5" s="49"/>
      <c r="H5" s="49"/>
    </row>
    <row r="6" spans="3:8" ht="15">
      <c r="C6" s="458"/>
      <c r="D6" s="458"/>
      <c r="E6" s="458"/>
      <c r="F6" s="458"/>
      <c r="G6" s="49"/>
      <c r="H6" s="49"/>
    </row>
    <row r="7" spans="1:6" s="41" customFormat="1" ht="30" customHeight="1">
      <c r="A7" s="470" t="s">
        <v>541</v>
      </c>
      <c r="B7" s="470"/>
      <c r="C7" s="470"/>
      <c r="D7" s="470"/>
      <c r="E7" s="470"/>
      <c r="F7" s="470"/>
    </row>
    <row r="8" spans="1:6" s="41" customFormat="1" ht="15.75" customHeight="1">
      <c r="A8" s="51">
        <f>додаток1!A8</f>
        <v>1050800000</v>
      </c>
      <c r="B8" s="50"/>
      <c r="C8" s="50"/>
      <c r="D8" s="52"/>
      <c r="E8" s="52"/>
      <c r="F8" s="52"/>
    </row>
    <row r="9" spans="1:6" s="41" customFormat="1" ht="15.75" customHeight="1">
      <c r="A9" s="23" t="s">
        <v>13</v>
      </c>
      <c r="B9" s="50"/>
      <c r="C9" s="50"/>
      <c r="D9" s="52"/>
      <c r="E9" s="52"/>
      <c r="F9" s="52"/>
    </row>
    <row r="10" spans="1:6" s="42" customFormat="1" ht="15.75" customHeight="1">
      <c r="A10" s="53"/>
      <c r="F10" s="11" t="s">
        <v>14</v>
      </c>
    </row>
    <row r="11" spans="1:6" s="43" customFormat="1" ht="33.75" customHeight="1">
      <c r="A11" s="472" t="s">
        <v>15</v>
      </c>
      <c r="B11" s="462" t="s">
        <v>135</v>
      </c>
      <c r="C11" s="481" t="s">
        <v>17</v>
      </c>
      <c r="D11" s="483" t="s">
        <v>18</v>
      </c>
      <c r="E11" s="471" t="s">
        <v>19</v>
      </c>
      <c r="F11" s="472"/>
    </row>
    <row r="12" spans="1:6" s="44" customFormat="1" ht="42" customHeight="1">
      <c r="A12" s="472"/>
      <c r="B12" s="480"/>
      <c r="C12" s="482"/>
      <c r="D12" s="484"/>
      <c r="E12" s="101" t="s">
        <v>136</v>
      </c>
      <c r="F12" s="54" t="s">
        <v>137</v>
      </c>
    </row>
    <row r="13" spans="1:6" s="45" customFormat="1" ht="15.75" customHeight="1">
      <c r="A13" s="55">
        <v>1</v>
      </c>
      <c r="B13" s="55">
        <v>2</v>
      </c>
      <c r="C13" s="55">
        <v>3</v>
      </c>
      <c r="D13" s="55">
        <v>4</v>
      </c>
      <c r="E13" s="55">
        <v>5</v>
      </c>
      <c r="F13" s="55">
        <v>6</v>
      </c>
    </row>
    <row r="14" spans="1:6" s="46" customFormat="1" ht="15.75" customHeight="1">
      <c r="A14" s="473" t="s">
        <v>138</v>
      </c>
      <c r="B14" s="474"/>
      <c r="C14" s="474"/>
      <c r="D14" s="474"/>
      <c r="E14" s="474"/>
      <c r="F14" s="475"/>
    </row>
    <row r="15" spans="1:6" s="4" customFormat="1" ht="24" customHeight="1">
      <c r="A15" s="61">
        <v>200000</v>
      </c>
      <c r="B15" s="102" t="s">
        <v>139</v>
      </c>
      <c r="C15" s="103">
        <f>D15+E15</f>
        <v>8656755</v>
      </c>
      <c r="D15" s="57">
        <f>D16+D20+D23</f>
        <v>-14481409.36</v>
      </c>
      <c r="E15" s="57">
        <f>E16+E20+E23</f>
        <v>23138164.36</v>
      </c>
      <c r="F15" s="57">
        <f>F16+F20+F23</f>
        <v>22718907.36</v>
      </c>
    </row>
    <row r="16" spans="1:6" s="4" customFormat="1" ht="24" customHeight="1">
      <c r="A16" s="61">
        <v>203000</v>
      </c>
      <c r="B16" s="102" t="s">
        <v>140</v>
      </c>
      <c r="C16" s="103">
        <f aca="true" t="shared" si="0" ref="C16:C36">D16+E16</f>
        <v>0</v>
      </c>
      <c r="D16" s="57">
        <f>D17</f>
        <v>0</v>
      </c>
      <c r="E16" s="57">
        <f>E17</f>
        <v>0</v>
      </c>
      <c r="F16" s="57">
        <f>F17</f>
        <v>0</v>
      </c>
    </row>
    <row r="17" spans="1:6" s="4" customFormat="1" ht="34.5" customHeight="1">
      <c r="A17" s="61">
        <v>203400</v>
      </c>
      <c r="B17" s="102" t="s">
        <v>141</v>
      </c>
      <c r="C17" s="103">
        <f>C18+C19</f>
        <v>0</v>
      </c>
      <c r="D17" s="57">
        <f>D18+D19</f>
        <v>0</v>
      </c>
      <c r="E17" s="57">
        <f>E18+E19</f>
        <v>0</v>
      </c>
      <c r="F17" s="57">
        <f>F18+F19</f>
        <v>0</v>
      </c>
    </row>
    <row r="18" spans="1:6" s="4" customFormat="1" ht="24" customHeight="1">
      <c r="A18" s="58">
        <v>203410</v>
      </c>
      <c r="B18" s="104" t="s">
        <v>142</v>
      </c>
      <c r="C18" s="103">
        <f t="shared" si="0"/>
        <v>29339155</v>
      </c>
      <c r="D18" s="59">
        <v>29339155</v>
      </c>
      <c r="E18" s="59"/>
      <c r="F18" s="59"/>
    </row>
    <row r="19" spans="1:6" s="4" customFormat="1" ht="24" customHeight="1">
      <c r="A19" s="58">
        <v>203420</v>
      </c>
      <c r="B19" s="104" t="s">
        <v>143</v>
      </c>
      <c r="C19" s="103">
        <f t="shared" si="0"/>
        <v>-29339155</v>
      </c>
      <c r="D19" s="59">
        <v>-29339155</v>
      </c>
      <c r="E19" s="59"/>
      <c r="F19" s="59"/>
    </row>
    <row r="20" spans="1:6" s="4" customFormat="1" ht="51" customHeight="1">
      <c r="A20" s="61">
        <v>205000</v>
      </c>
      <c r="B20" s="102" t="s">
        <v>144</v>
      </c>
      <c r="C20" s="103">
        <f t="shared" si="0"/>
        <v>0</v>
      </c>
      <c r="D20" s="57">
        <f>D21-D22</f>
        <v>0</v>
      </c>
      <c r="E20" s="57">
        <f>E21-E22</f>
        <v>0</v>
      </c>
      <c r="F20" s="57">
        <f>F21-F22</f>
        <v>0</v>
      </c>
    </row>
    <row r="21" spans="1:6" s="42" customFormat="1" ht="24" customHeight="1">
      <c r="A21" s="58">
        <v>205100</v>
      </c>
      <c r="B21" s="104" t="s">
        <v>145</v>
      </c>
      <c r="C21" s="103">
        <f t="shared" si="0"/>
        <v>1416020.29</v>
      </c>
      <c r="D21" s="59"/>
      <c r="E21" s="59">
        <v>1416020.29</v>
      </c>
      <c r="F21" s="59"/>
    </row>
    <row r="22" spans="1:6" s="42" customFormat="1" ht="24" customHeight="1">
      <c r="A22" s="58">
        <v>205200</v>
      </c>
      <c r="B22" s="104" t="s">
        <v>146</v>
      </c>
      <c r="C22" s="103">
        <f t="shared" si="0"/>
        <v>1416020.29</v>
      </c>
      <c r="D22" s="59"/>
      <c r="E22" s="59">
        <v>1416020.29</v>
      </c>
      <c r="F22" s="59"/>
    </row>
    <row r="23" spans="1:6" s="42" customFormat="1" ht="37.5" customHeight="1">
      <c r="A23" s="61">
        <v>208000</v>
      </c>
      <c r="B23" s="102" t="s">
        <v>147</v>
      </c>
      <c r="C23" s="103">
        <f t="shared" si="0"/>
        <v>8656755</v>
      </c>
      <c r="D23" s="57">
        <f>D24-D25+D26</f>
        <v>-14481409.36</v>
      </c>
      <c r="E23" s="57">
        <f>E24-E25+E26</f>
        <v>23138164.36</v>
      </c>
      <c r="F23" s="57">
        <f>F24-F25+F26</f>
        <v>22718907.36</v>
      </c>
    </row>
    <row r="24" spans="1:6" s="42" customFormat="1" ht="24.75" customHeight="1">
      <c r="A24" s="58">
        <v>208100</v>
      </c>
      <c r="B24" s="104" t="s">
        <v>145</v>
      </c>
      <c r="C24" s="103">
        <f t="shared" si="0"/>
        <v>9113756.61</v>
      </c>
      <c r="D24" s="59">
        <v>8449931.1</v>
      </c>
      <c r="E24" s="59">
        <v>663825.51</v>
      </c>
      <c r="F24" s="59">
        <v>16238.45</v>
      </c>
    </row>
    <row r="25" spans="1:6" s="42" customFormat="1" ht="24.75" customHeight="1">
      <c r="A25" s="58">
        <v>208200</v>
      </c>
      <c r="B25" s="104" t="s">
        <v>146</v>
      </c>
      <c r="C25" s="103">
        <f t="shared" si="0"/>
        <v>457001.60999999964</v>
      </c>
      <c r="D25" s="59">
        <f>8449931.1-5144409-1442681-1634170</f>
        <v>228671.09999999963</v>
      </c>
      <c r="E25" s="59">
        <f>663825.51-97440-194250-16238-30121-10000-76925-6000-4521</f>
        <v>228330.51</v>
      </c>
      <c r="F25" s="59">
        <f>16238.45-16238</f>
        <v>0.4500000000007276</v>
      </c>
    </row>
    <row r="26" spans="1:6" s="42" customFormat="1" ht="43.5" customHeight="1">
      <c r="A26" s="58">
        <v>208400</v>
      </c>
      <c r="B26" s="104" t="s">
        <v>148</v>
      </c>
      <c r="C26" s="106">
        <f t="shared" si="0"/>
        <v>0</v>
      </c>
      <c r="D26" s="59">
        <f>-1090436-800000-78800-4457000-56000-2657300-8664845.76-297775-400000+303182.4-4503695</f>
        <v>-22702669.36</v>
      </c>
      <c r="E26" s="59">
        <f>1090436+800000+78800+5133000-620000+2657300+8664845.76+297775+400000-303182.4+4503695</f>
        <v>22702669.36</v>
      </c>
      <c r="F26" s="59">
        <f>E26</f>
        <v>22702669.36</v>
      </c>
    </row>
    <row r="27" spans="1:6" s="4" customFormat="1" ht="28.5" customHeight="1">
      <c r="A27" s="61"/>
      <c r="B27" s="102" t="s">
        <v>152</v>
      </c>
      <c r="C27" s="103">
        <f t="shared" si="0"/>
        <v>8656755</v>
      </c>
      <c r="D27" s="57">
        <f>D15</f>
        <v>-14481409.36</v>
      </c>
      <c r="E27" s="57">
        <f>E15</f>
        <v>23138164.36</v>
      </c>
      <c r="F27" s="57">
        <f>F15</f>
        <v>22718907.36</v>
      </c>
    </row>
    <row r="28" spans="1:6" s="4" customFormat="1" ht="28.5" customHeight="1">
      <c r="A28" s="476" t="s">
        <v>153</v>
      </c>
      <c r="B28" s="477"/>
      <c r="C28" s="477"/>
      <c r="D28" s="477"/>
      <c r="E28" s="477"/>
      <c r="F28" s="478"/>
    </row>
    <row r="29" spans="1:6" s="4" customFormat="1" ht="31.5" customHeight="1">
      <c r="A29" s="61">
        <v>600000</v>
      </c>
      <c r="B29" s="102" t="s">
        <v>154</v>
      </c>
      <c r="C29" s="103">
        <f t="shared" si="0"/>
        <v>8656755</v>
      </c>
      <c r="D29" s="57">
        <f>D20+D23</f>
        <v>-14481409.36</v>
      </c>
      <c r="E29" s="57">
        <f>E20+E23</f>
        <v>23138164.36</v>
      </c>
      <c r="F29" s="57">
        <f>F20+F23</f>
        <v>22718907.36</v>
      </c>
    </row>
    <row r="30" spans="1:7" s="4" customFormat="1" ht="21.75" customHeight="1">
      <c r="A30" s="61">
        <v>602000</v>
      </c>
      <c r="B30" s="102" t="s">
        <v>155</v>
      </c>
      <c r="C30" s="103">
        <f t="shared" si="0"/>
        <v>8656755</v>
      </c>
      <c r="D30" s="57">
        <f>D31-D32+D33</f>
        <v>-14481409.36</v>
      </c>
      <c r="E30" s="57">
        <f>E31-E32+E33</f>
        <v>23138164.36</v>
      </c>
      <c r="F30" s="57">
        <f>F31-F32+F33</f>
        <v>22718907.36</v>
      </c>
      <c r="G30" s="42"/>
    </row>
    <row r="31" spans="1:6" s="4" customFormat="1" ht="24" customHeight="1">
      <c r="A31" s="58">
        <v>602100</v>
      </c>
      <c r="B31" s="104" t="s">
        <v>145</v>
      </c>
      <c r="C31" s="103">
        <f t="shared" si="0"/>
        <v>10529776.9</v>
      </c>
      <c r="D31" s="59">
        <f aca="true" t="shared" si="1" ref="D31:F32">D21+D24</f>
        <v>8449931.1</v>
      </c>
      <c r="E31" s="59">
        <f t="shared" si="1"/>
        <v>2079845.8</v>
      </c>
      <c r="F31" s="59">
        <f t="shared" si="1"/>
        <v>16238.45</v>
      </c>
    </row>
    <row r="32" spans="1:6" s="4" customFormat="1" ht="25.5" customHeight="1">
      <c r="A32" s="58">
        <v>602200</v>
      </c>
      <c r="B32" s="104" t="s">
        <v>146</v>
      </c>
      <c r="C32" s="103">
        <f t="shared" si="0"/>
        <v>1873021.8999999997</v>
      </c>
      <c r="D32" s="59">
        <f t="shared" si="1"/>
        <v>228671.09999999963</v>
      </c>
      <c r="E32" s="59">
        <f t="shared" si="1"/>
        <v>1644350.8</v>
      </c>
      <c r="F32" s="59">
        <f t="shared" si="1"/>
        <v>0.4500000000007276</v>
      </c>
    </row>
    <row r="33" spans="1:6" s="4" customFormat="1" ht="53.25" customHeight="1">
      <c r="A33" s="58">
        <v>602400</v>
      </c>
      <c r="B33" s="104" t="s">
        <v>148</v>
      </c>
      <c r="C33" s="106">
        <f t="shared" si="0"/>
        <v>0</v>
      </c>
      <c r="D33" s="59">
        <f>D26</f>
        <v>-22702669.36</v>
      </c>
      <c r="E33" s="59">
        <f>E26</f>
        <v>22702669.36</v>
      </c>
      <c r="F33" s="59">
        <f>F26</f>
        <v>22702669.36</v>
      </c>
    </row>
    <row r="34" spans="1:6" s="42" customFormat="1" ht="31.5" customHeight="1">
      <c r="A34" s="61">
        <v>603000</v>
      </c>
      <c r="B34" s="102" t="s">
        <v>156</v>
      </c>
      <c r="C34" s="103">
        <f t="shared" si="0"/>
        <v>0</v>
      </c>
      <c r="D34" s="57">
        <v>0</v>
      </c>
      <c r="E34" s="57">
        <v>0</v>
      </c>
      <c r="F34" s="57">
        <v>0</v>
      </c>
    </row>
    <row r="35" spans="1:6" s="42" customFormat="1" ht="31.5" customHeight="1">
      <c r="A35" s="58">
        <v>603000</v>
      </c>
      <c r="B35" s="104" t="s">
        <v>156</v>
      </c>
      <c r="C35" s="103">
        <f t="shared" si="0"/>
        <v>0</v>
      </c>
      <c r="D35" s="59">
        <v>0</v>
      </c>
      <c r="E35" s="59">
        <v>0</v>
      </c>
      <c r="F35" s="59">
        <v>0</v>
      </c>
    </row>
    <row r="36" spans="1:6" s="4" customFormat="1" ht="31.5" customHeight="1">
      <c r="A36" s="56" t="s">
        <v>128</v>
      </c>
      <c r="B36" s="102" t="s">
        <v>152</v>
      </c>
      <c r="C36" s="103">
        <f t="shared" si="0"/>
        <v>8656755</v>
      </c>
      <c r="D36" s="57">
        <f>D15</f>
        <v>-14481409.36</v>
      </c>
      <c r="E36" s="57">
        <f>E15</f>
        <v>23138164.36</v>
      </c>
      <c r="F36" s="57">
        <f>F15</f>
        <v>22718907.36</v>
      </c>
    </row>
    <row r="37" spans="1:6" s="42" customFormat="1" ht="62.25" customHeight="1">
      <c r="A37" s="479" t="str">
        <f>додаток1!A132</f>
        <v>Секретар міської ради                                                                        Наталія  ІВАНЮТА</v>
      </c>
      <c r="B37" s="479"/>
      <c r="C37" s="479"/>
      <c r="D37" s="479"/>
      <c r="E37" s="479"/>
      <c r="F37" s="479"/>
    </row>
    <row r="38" s="42" customFormat="1" ht="23.25" customHeight="1">
      <c r="A38" s="53"/>
    </row>
    <row r="39" spans="1:5" s="42" customFormat="1" ht="15">
      <c r="A39" s="53"/>
      <c r="D39" s="107"/>
      <c r="E39" s="107"/>
    </row>
    <row r="40" s="42" customFormat="1" ht="15">
      <c r="A40" s="53"/>
    </row>
    <row r="41" s="42" customFormat="1" ht="15">
      <c r="A41" s="53"/>
    </row>
    <row r="42" s="42" customFormat="1" ht="15">
      <c r="A42" s="53"/>
    </row>
    <row r="43" s="42" customFormat="1" ht="15">
      <c r="A43" s="53"/>
    </row>
    <row r="44" s="42" customFormat="1" ht="15">
      <c r="A44" s="53"/>
    </row>
    <row r="45" s="42" customFormat="1" ht="15">
      <c r="A45" s="53"/>
    </row>
    <row r="46" s="42" customFormat="1" ht="15">
      <c r="A46" s="53"/>
    </row>
    <row r="47" s="42" customFormat="1" ht="15">
      <c r="A47" s="53"/>
    </row>
    <row r="48" s="42" customFormat="1" ht="15">
      <c r="A48" s="53"/>
    </row>
    <row r="49" s="42" customFormat="1" ht="15">
      <c r="A49" s="53"/>
    </row>
    <row r="50" s="42" customFormat="1" ht="15">
      <c r="A50" s="53"/>
    </row>
    <row r="51" s="42" customFormat="1" ht="15">
      <c r="A51" s="53"/>
    </row>
    <row r="52" s="42" customFormat="1" ht="15">
      <c r="A52" s="53"/>
    </row>
    <row r="53" s="42" customFormat="1" ht="15">
      <c r="A53" s="53"/>
    </row>
    <row r="54" s="42" customFormat="1" ht="15">
      <c r="A54" s="53"/>
    </row>
    <row r="55" s="42" customFormat="1" ht="15">
      <c r="A55" s="53"/>
    </row>
    <row r="56" s="42" customFormat="1" ht="15">
      <c r="A56" s="53"/>
    </row>
    <row r="57" s="42" customFormat="1" ht="15">
      <c r="A57" s="53"/>
    </row>
    <row r="58" s="42" customFormat="1" ht="15">
      <c r="A58" s="53"/>
    </row>
    <row r="59" s="42" customFormat="1" ht="15">
      <c r="A59" s="53"/>
    </row>
    <row r="60" s="42" customFormat="1" ht="15">
      <c r="A60" s="53"/>
    </row>
    <row r="61" s="42" customFormat="1" ht="15">
      <c r="A61" s="53"/>
    </row>
    <row r="62" s="42" customFormat="1" ht="15">
      <c r="A62" s="53"/>
    </row>
    <row r="63" s="42" customFormat="1" ht="15">
      <c r="A63" s="53"/>
    </row>
    <row r="64" s="42" customFormat="1" ht="15">
      <c r="A64" s="53"/>
    </row>
    <row r="65" s="42" customFormat="1" ht="15">
      <c r="A65" s="53"/>
    </row>
    <row r="66" s="42" customFormat="1" ht="15">
      <c r="A66" s="53"/>
    </row>
    <row r="67" s="42" customFormat="1" ht="15">
      <c r="A67" s="53"/>
    </row>
    <row r="68" s="42" customFormat="1" ht="15">
      <c r="A68" s="53"/>
    </row>
    <row r="69" s="42" customFormat="1" ht="15">
      <c r="A69" s="53"/>
    </row>
  </sheetData>
  <sheetProtection/>
  <mergeCells count="14">
    <mergeCell ref="A28:F28"/>
    <mergeCell ref="A37:F37"/>
    <mergeCell ref="A11:A12"/>
    <mergeCell ref="B11:B12"/>
    <mergeCell ref="C11:C12"/>
    <mergeCell ref="D11:D12"/>
    <mergeCell ref="C6:F6"/>
    <mergeCell ref="A7:F7"/>
    <mergeCell ref="E11:F11"/>
    <mergeCell ref="A14:F14"/>
    <mergeCell ref="D2:F2"/>
    <mergeCell ref="D3:F3"/>
    <mergeCell ref="D4:F4"/>
    <mergeCell ref="D5:F5"/>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52"/>
  <sheetViews>
    <sheetView showZeros="0" zoomScale="70" zoomScaleNormal="70" zoomScalePageLayoutView="0" workbookViewId="0" topLeftCell="A11">
      <pane xSplit="4" ySplit="5" topLeftCell="I117" activePane="bottomRight" state="frozen"/>
      <selection pane="topLeft" activeCell="A11" sqref="A11"/>
      <selection pane="topRight" activeCell="E11" sqref="E11"/>
      <selection pane="bottomLeft" activeCell="A16" sqref="A16"/>
      <selection pane="bottomRight" activeCell="D137" sqref="D137"/>
    </sheetView>
  </sheetViews>
  <sheetFormatPr defaultColWidth="9.00390625" defaultRowHeight="12.75"/>
  <cols>
    <col min="1" max="1" width="12.75390625" style="89" customWidth="1"/>
    <col min="2" max="2" width="12.125" style="90" customWidth="1"/>
    <col min="3" max="3" width="12.625" style="90" customWidth="1"/>
    <col min="4" max="4" width="71.125" style="85" customWidth="1"/>
    <col min="5" max="5" width="19.75390625" style="2" customWidth="1"/>
    <col min="6" max="6" width="19.125" style="2" customWidth="1"/>
    <col min="7" max="7" width="17.875" style="2" customWidth="1"/>
    <col min="8" max="8" width="16.75390625" style="2" customWidth="1"/>
    <col min="9" max="9" width="15.75390625" style="2" customWidth="1"/>
    <col min="10" max="11" width="15.375" style="2" customWidth="1"/>
    <col min="12" max="12" width="14.125" style="2" customWidth="1"/>
    <col min="13" max="13" width="12.00390625" style="2" customWidth="1"/>
    <col min="14" max="14" width="13.125" style="2" customWidth="1"/>
    <col min="15" max="15" width="12.75390625" style="2" customWidth="1"/>
    <col min="16" max="16" width="19.375" style="2" customWidth="1"/>
    <col min="17" max="17" width="9.125" style="9" bestFit="1" customWidth="1"/>
    <col min="18" max="16384" width="9.125" style="9" customWidth="1"/>
  </cols>
  <sheetData>
    <row r="1" spans="12:16" ht="23.25" customHeight="1">
      <c r="L1" s="88"/>
      <c r="M1" s="447" t="s">
        <v>157</v>
      </c>
      <c r="N1" s="447"/>
      <c r="O1" s="447"/>
      <c r="P1" s="447"/>
    </row>
    <row r="2" spans="4:16" ht="21" customHeight="1">
      <c r="D2" s="9"/>
      <c r="L2" s="88"/>
      <c r="M2" s="447" t="str">
        <f>додаток1!D2</f>
        <v>до рішення сімнадцятої сесії Тетіївської міської ради</v>
      </c>
      <c r="N2" s="447"/>
      <c r="O2" s="447"/>
      <c r="P2" s="447"/>
    </row>
    <row r="3" spans="4:16" ht="33.75" customHeight="1">
      <c r="D3" s="84"/>
      <c r="L3" s="100">
        <f>додаток1!C3</f>
        <v>0</v>
      </c>
      <c r="M3" s="448" t="str">
        <f>додаток1!D3</f>
        <v>"Про бюджет Тетіївської міської територіальної громади на 2023 рік" від 20.12.2022 № 772-17-VIII</v>
      </c>
      <c r="N3" s="448"/>
      <c r="O3" s="448"/>
      <c r="P3" s="448"/>
    </row>
    <row r="4" spans="12:16" ht="37.5" customHeight="1">
      <c r="L4" s="361">
        <f>додаток1!C4</f>
        <v>0</v>
      </c>
      <c r="M4" s="449" t="str">
        <f>додаток1!D4</f>
        <v>(в редакції рішення двадцять третьої сесії Тетіївської міської ради від 26.10.2023 № 1037-23-VIII)</v>
      </c>
      <c r="N4" s="449"/>
      <c r="O4" s="449"/>
      <c r="P4" s="449"/>
    </row>
    <row r="5" spans="12:16" ht="21" customHeight="1">
      <c r="L5" s="447">
        <f>додаток1!C5</f>
        <v>0</v>
      </c>
      <c r="M5" s="447"/>
      <c r="N5" s="447"/>
      <c r="O5" s="447"/>
      <c r="P5" s="447"/>
    </row>
    <row r="6" spans="10:16" ht="18" customHeight="1">
      <c r="J6" s="47"/>
      <c r="K6" s="47"/>
      <c r="L6" s="455"/>
      <c r="M6" s="455"/>
      <c r="N6" s="455"/>
      <c r="O6" s="455"/>
      <c r="P6" s="455"/>
    </row>
    <row r="7" spans="1:16" s="3" customFormat="1" ht="21.75" customHeight="1">
      <c r="A7" s="91"/>
      <c r="B7" s="451" t="s">
        <v>534</v>
      </c>
      <c r="C7" s="451"/>
      <c r="D7" s="452"/>
      <c r="E7" s="452"/>
      <c r="F7" s="452"/>
      <c r="G7" s="452"/>
      <c r="H7" s="452"/>
      <c r="I7" s="452"/>
      <c r="J7" s="452"/>
      <c r="K7" s="452"/>
      <c r="L7" s="452"/>
      <c r="M7" s="452"/>
      <c r="N7" s="452"/>
      <c r="O7" s="452"/>
      <c r="P7" s="452"/>
    </row>
    <row r="8" spans="1:16" s="3" customFormat="1" ht="25.5" customHeight="1">
      <c r="A8" s="453">
        <f>додаток1!A8</f>
        <v>1050800000</v>
      </c>
      <c r="B8" s="453"/>
      <c r="C8" s="92"/>
      <c r="D8" s="93"/>
      <c r="E8" s="93"/>
      <c r="F8" s="93"/>
      <c r="G8" s="93"/>
      <c r="H8" s="93"/>
      <c r="I8" s="93"/>
      <c r="J8" s="93"/>
      <c r="K8" s="93"/>
      <c r="L8" s="93"/>
      <c r="M8" s="93"/>
      <c r="N8" s="93"/>
      <c r="O8" s="93"/>
      <c r="P8" s="93"/>
    </row>
    <row r="9" spans="1:16" s="3" customFormat="1" ht="25.5" customHeight="1">
      <c r="A9" s="454" t="s">
        <v>13</v>
      </c>
      <c r="B9" s="454"/>
      <c r="C9" s="94"/>
      <c r="D9" s="33"/>
      <c r="E9" s="33"/>
      <c r="F9" s="33"/>
      <c r="G9" s="33"/>
      <c r="H9" s="33"/>
      <c r="I9" s="33"/>
      <c r="J9" s="33"/>
      <c r="K9" s="33"/>
      <c r="L9" s="33"/>
      <c r="M9" s="33"/>
      <c r="N9" s="33"/>
      <c r="O9" s="33"/>
      <c r="P9" s="33"/>
    </row>
    <row r="10" ht="37.5" customHeight="1">
      <c r="P10" s="12" t="s">
        <v>14</v>
      </c>
    </row>
    <row r="11" spans="1:16" s="87" customFormat="1" ht="32.25" customHeight="1">
      <c r="A11" s="442" t="s">
        <v>158</v>
      </c>
      <c r="B11" s="436" t="s">
        <v>159</v>
      </c>
      <c r="C11" s="462" t="s">
        <v>160</v>
      </c>
      <c r="D11" s="437" t="s">
        <v>161</v>
      </c>
      <c r="E11" s="444" t="s">
        <v>18</v>
      </c>
      <c r="F11" s="445"/>
      <c r="G11" s="445"/>
      <c r="H11" s="445"/>
      <c r="I11" s="439"/>
      <c r="J11" s="450" t="s">
        <v>162</v>
      </c>
      <c r="K11" s="450"/>
      <c r="L11" s="450"/>
      <c r="M11" s="450"/>
      <c r="N11" s="450"/>
      <c r="O11" s="450"/>
      <c r="P11" s="450" t="s">
        <v>163</v>
      </c>
    </row>
    <row r="12" spans="1:16" s="87" customFormat="1" ht="12.75" customHeight="1">
      <c r="A12" s="443"/>
      <c r="B12" s="436"/>
      <c r="C12" s="462"/>
      <c r="D12" s="437"/>
      <c r="E12" s="440" t="s">
        <v>17</v>
      </c>
      <c r="F12" s="485" t="s">
        <v>164</v>
      </c>
      <c r="G12" s="450" t="s">
        <v>165</v>
      </c>
      <c r="H12" s="450"/>
      <c r="I12" s="485" t="s">
        <v>166</v>
      </c>
      <c r="J12" s="440" t="s">
        <v>17</v>
      </c>
      <c r="K12" s="485" t="s">
        <v>167</v>
      </c>
      <c r="L12" s="485" t="s">
        <v>164</v>
      </c>
      <c r="M12" s="450" t="s">
        <v>165</v>
      </c>
      <c r="N12" s="450"/>
      <c r="O12" s="485" t="s">
        <v>166</v>
      </c>
      <c r="P12" s="450"/>
    </row>
    <row r="13" spans="1:16" s="87" customFormat="1" ht="47.25" customHeight="1">
      <c r="A13" s="443"/>
      <c r="B13" s="436"/>
      <c r="C13" s="462"/>
      <c r="D13" s="437"/>
      <c r="E13" s="440"/>
      <c r="F13" s="486"/>
      <c r="G13" s="450" t="s">
        <v>168</v>
      </c>
      <c r="H13" s="450" t="s">
        <v>169</v>
      </c>
      <c r="I13" s="486"/>
      <c r="J13" s="440"/>
      <c r="K13" s="486"/>
      <c r="L13" s="486"/>
      <c r="M13" s="450" t="s">
        <v>168</v>
      </c>
      <c r="N13" s="450" t="s">
        <v>169</v>
      </c>
      <c r="O13" s="486"/>
      <c r="P13" s="450"/>
    </row>
    <row r="14" spans="1:16" s="87" customFormat="1" ht="67.5" customHeight="1">
      <c r="A14" s="435"/>
      <c r="B14" s="436"/>
      <c r="C14" s="462"/>
      <c r="D14" s="437"/>
      <c r="E14" s="440"/>
      <c r="F14" s="446"/>
      <c r="G14" s="450"/>
      <c r="H14" s="450"/>
      <c r="I14" s="446"/>
      <c r="J14" s="440"/>
      <c r="K14" s="446"/>
      <c r="L14" s="446"/>
      <c r="M14" s="450"/>
      <c r="N14" s="450"/>
      <c r="O14" s="446"/>
      <c r="P14" s="450"/>
    </row>
    <row r="15" spans="1:16" s="135" customFormat="1" ht="15">
      <c r="A15" s="132">
        <v>1</v>
      </c>
      <c r="B15" s="133">
        <v>2</v>
      </c>
      <c r="C15" s="133" t="s">
        <v>170</v>
      </c>
      <c r="D15" s="134">
        <v>4</v>
      </c>
      <c r="E15" s="372">
        <v>5</v>
      </c>
      <c r="F15" s="134">
        <v>6</v>
      </c>
      <c r="G15" s="134">
        <v>7</v>
      </c>
      <c r="H15" s="134">
        <v>8</v>
      </c>
      <c r="I15" s="134">
        <v>9</v>
      </c>
      <c r="J15" s="372">
        <v>10</v>
      </c>
      <c r="K15" s="134">
        <v>11</v>
      </c>
      <c r="L15" s="134">
        <v>12</v>
      </c>
      <c r="M15" s="134">
        <v>13</v>
      </c>
      <c r="N15" s="134">
        <v>14</v>
      </c>
      <c r="O15" s="134">
        <v>15</v>
      </c>
      <c r="P15" s="134">
        <v>16</v>
      </c>
    </row>
    <row r="16" spans="1:16" s="375" customFormat="1" ht="25.5" customHeight="1">
      <c r="A16" s="384" t="s">
        <v>171</v>
      </c>
      <c r="B16" s="384"/>
      <c r="C16" s="384"/>
      <c r="D16" s="385" t="s">
        <v>172</v>
      </c>
      <c r="E16" s="386">
        <f>E17</f>
        <v>76501540</v>
      </c>
      <c r="F16" s="386">
        <f aca="true" t="shared" si="0" ref="F16:P16">F17</f>
        <v>43909385</v>
      </c>
      <c r="G16" s="386">
        <f t="shared" si="0"/>
        <v>21803625</v>
      </c>
      <c r="H16" s="386">
        <f t="shared" si="0"/>
        <v>1918700</v>
      </c>
      <c r="I16" s="386">
        <f t="shared" si="0"/>
        <v>32592155</v>
      </c>
      <c r="J16" s="386">
        <f t="shared" si="0"/>
        <v>63407313</v>
      </c>
      <c r="K16" s="386">
        <f t="shared" si="0"/>
        <v>12192848</v>
      </c>
      <c r="L16" s="386">
        <f t="shared" si="0"/>
        <v>1024465</v>
      </c>
      <c r="M16" s="386">
        <f t="shared" si="0"/>
        <v>0</v>
      </c>
      <c r="N16" s="386">
        <f t="shared" si="0"/>
        <v>0</v>
      </c>
      <c r="O16" s="386">
        <f t="shared" si="0"/>
        <v>62382848</v>
      </c>
      <c r="P16" s="386">
        <f t="shared" si="0"/>
        <v>139908853</v>
      </c>
    </row>
    <row r="17" spans="1:16" s="375" customFormat="1" ht="25.5" customHeight="1">
      <c r="A17" s="384" t="s">
        <v>173</v>
      </c>
      <c r="B17" s="384"/>
      <c r="C17" s="384"/>
      <c r="D17" s="385" t="s">
        <v>172</v>
      </c>
      <c r="E17" s="386">
        <f aca="true" t="shared" si="1" ref="E17:P17">E18+E21+E25+E29+E35+E45+E50</f>
        <v>76501540</v>
      </c>
      <c r="F17" s="386">
        <f t="shared" si="1"/>
        <v>43909385</v>
      </c>
      <c r="G17" s="386">
        <f t="shared" si="1"/>
        <v>21803625</v>
      </c>
      <c r="H17" s="386">
        <f t="shared" si="1"/>
        <v>1918700</v>
      </c>
      <c r="I17" s="386">
        <f t="shared" si="1"/>
        <v>32592155</v>
      </c>
      <c r="J17" s="386">
        <f t="shared" si="1"/>
        <v>63407313</v>
      </c>
      <c r="K17" s="386">
        <f t="shared" si="1"/>
        <v>12192848</v>
      </c>
      <c r="L17" s="386">
        <f t="shared" si="1"/>
        <v>1024465</v>
      </c>
      <c r="M17" s="386">
        <f t="shared" si="1"/>
        <v>0</v>
      </c>
      <c r="N17" s="386">
        <f t="shared" si="1"/>
        <v>0</v>
      </c>
      <c r="O17" s="386">
        <f t="shared" si="1"/>
        <v>62382848</v>
      </c>
      <c r="P17" s="386">
        <f t="shared" si="1"/>
        <v>139908853</v>
      </c>
    </row>
    <row r="18" spans="1:16" s="375" customFormat="1" ht="25.5" customHeight="1">
      <c r="A18" s="95"/>
      <c r="B18" s="95" t="s">
        <v>375</v>
      </c>
      <c r="C18" s="95"/>
      <c r="D18" s="96" t="s">
        <v>376</v>
      </c>
      <c r="E18" s="387">
        <f>SUM(E19:E20)</f>
        <v>29991777</v>
      </c>
      <c r="F18" s="387">
        <f aca="true" t="shared" si="2" ref="F18:P18">SUM(F19:F20)</f>
        <v>29991777</v>
      </c>
      <c r="G18" s="387">
        <f t="shared" si="2"/>
        <v>21803625</v>
      </c>
      <c r="H18" s="387">
        <f t="shared" si="2"/>
        <v>1918700</v>
      </c>
      <c r="I18" s="387">
        <f t="shared" si="2"/>
        <v>0</v>
      </c>
      <c r="J18" s="387">
        <f t="shared" si="2"/>
        <v>540450</v>
      </c>
      <c r="K18" s="387">
        <f t="shared" si="2"/>
        <v>36850</v>
      </c>
      <c r="L18" s="387">
        <f t="shared" si="2"/>
        <v>503600</v>
      </c>
      <c r="M18" s="387">
        <f t="shared" si="2"/>
        <v>0</v>
      </c>
      <c r="N18" s="387">
        <f t="shared" si="2"/>
        <v>0</v>
      </c>
      <c r="O18" s="387">
        <f t="shared" si="2"/>
        <v>36850</v>
      </c>
      <c r="P18" s="387">
        <f t="shared" si="2"/>
        <v>30532227</v>
      </c>
    </row>
    <row r="19" spans="1:16" s="376" customFormat="1" ht="78.75" customHeight="1">
      <c r="A19" s="10" t="s">
        <v>174</v>
      </c>
      <c r="B19" s="10" t="s">
        <v>175</v>
      </c>
      <c r="C19" s="10" t="s">
        <v>176</v>
      </c>
      <c r="D19" s="367" t="s">
        <v>178</v>
      </c>
      <c r="E19" s="374">
        <f>F19+I19</f>
        <v>29650108</v>
      </c>
      <c r="F19" s="97">
        <f>29379800+342666-72358</f>
        <v>29650108</v>
      </c>
      <c r="G19" s="97">
        <f>22690000-479003-559797</f>
        <v>21651200</v>
      </c>
      <c r="H19" s="97">
        <f>1770400+50000+98300</f>
        <v>1918700</v>
      </c>
      <c r="I19" s="97"/>
      <c r="J19" s="374">
        <f>L19+O19</f>
        <v>536850</v>
      </c>
      <c r="K19" s="97">
        <f>36850</f>
        <v>36850</v>
      </c>
      <c r="L19" s="97">
        <v>500000</v>
      </c>
      <c r="M19" s="97"/>
      <c r="N19" s="97"/>
      <c r="O19" s="97">
        <f>36850</f>
        <v>36850</v>
      </c>
      <c r="P19" s="97">
        <f aca="true" t="shared" si="3" ref="P19:P44">J19+E19</f>
        <v>30186958</v>
      </c>
    </row>
    <row r="20" spans="1:16" s="376" customFormat="1" ht="27" customHeight="1">
      <c r="A20" s="10" t="s">
        <v>179</v>
      </c>
      <c r="B20" s="10" t="s">
        <v>180</v>
      </c>
      <c r="C20" s="10" t="s">
        <v>181</v>
      </c>
      <c r="D20" s="98" t="s">
        <v>182</v>
      </c>
      <c r="E20" s="374">
        <f>F20+I20</f>
        <v>341669</v>
      </c>
      <c r="F20" s="97">
        <f>50000+171700+50000+50000+5665+14304</f>
        <v>341669</v>
      </c>
      <c r="G20" s="97">
        <f>140700+11725</f>
        <v>152425</v>
      </c>
      <c r="H20" s="97"/>
      <c r="I20" s="97"/>
      <c r="J20" s="374">
        <f aca="true" t="shared" si="4" ref="J20:J44">L20+O20</f>
        <v>3600</v>
      </c>
      <c r="K20" s="97"/>
      <c r="L20" s="97">
        <f>3600</f>
        <v>3600</v>
      </c>
      <c r="M20" s="97"/>
      <c r="N20" s="97"/>
      <c r="O20" s="97"/>
      <c r="P20" s="97">
        <f t="shared" si="3"/>
        <v>345269</v>
      </c>
    </row>
    <row r="21" spans="1:16" s="377" customFormat="1" ht="27" customHeight="1">
      <c r="A21" s="129"/>
      <c r="B21" s="129" t="s">
        <v>377</v>
      </c>
      <c r="C21" s="129"/>
      <c r="D21" s="130" t="s">
        <v>379</v>
      </c>
      <c r="E21" s="388">
        <f aca="true" t="shared" si="5" ref="E21:P21">SUM(E22:E24)</f>
        <v>11822283</v>
      </c>
      <c r="F21" s="388">
        <f t="shared" si="5"/>
        <v>11822283</v>
      </c>
      <c r="G21" s="388">
        <f t="shared" si="5"/>
        <v>0</v>
      </c>
      <c r="H21" s="388">
        <f t="shared" si="5"/>
        <v>0</v>
      </c>
      <c r="I21" s="388">
        <f t="shared" si="5"/>
        <v>0</v>
      </c>
      <c r="J21" s="388">
        <f t="shared" si="5"/>
        <v>0</v>
      </c>
      <c r="K21" s="388">
        <f t="shared" si="5"/>
        <v>0</v>
      </c>
      <c r="L21" s="388">
        <f t="shared" si="5"/>
        <v>0</v>
      </c>
      <c r="M21" s="388">
        <f t="shared" si="5"/>
        <v>0</v>
      </c>
      <c r="N21" s="388">
        <f t="shared" si="5"/>
        <v>0</v>
      </c>
      <c r="O21" s="388">
        <f t="shared" si="5"/>
        <v>0</v>
      </c>
      <c r="P21" s="388">
        <f t="shared" si="5"/>
        <v>11822283</v>
      </c>
    </row>
    <row r="22" spans="1:16" s="376" customFormat="1" ht="43.5" customHeight="1">
      <c r="A22" s="10" t="s">
        <v>183</v>
      </c>
      <c r="B22" s="10" t="s">
        <v>184</v>
      </c>
      <c r="C22" s="10" t="s">
        <v>185</v>
      </c>
      <c r="D22" s="367" t="s">
        <v>186</v>
      </c>
      <c r="E22" s="374">
        <f>F22+I22</f>
        <v>5860000</v>
      </c>
      <c r="F22" s="97">
        <v>5860000</v>
      </c>
      <c r="G22" s="97"/>
      <c r="H22" s="97"/>
      <c r="I22" s="97"/>
      <c r="J22" s="374">
        <f t="shared" si="4"/>
        <v>0</v>
      </c>
      <c r="K22" s="97">
        <f>763597-763597</f>
        <v>0</v>
      </c>
      <c r="L22" s="97">
        <f>32542.6-32542.6</f>
        <v>0</v>
      </c>
      <c r="M22" s="97"/>
      <c r="N22" s="97"/>
      <c r="O22" s="97">
        <f>763597-763597</f>
        <v>0</v>
      </c>
      <c r="P22" s="97">
        <f t="shared" si="3"/>
        <v>5860000</v>
      </c>
    </row>
    <row r="23" spans="1:16" s="376" customFormat="1" ht="51.75" customHeight="1">
      <c r="A23" s="10" t="s">
        <v>187</v>
      </c>
      <c r="B23" s="10" t="s">
        <v>188</v>
      </c>
      <c r="C23" s="10" t="s">
        <v>189</v>
      </c>
      <c r="D23" s="98" t="s">
        <v>190</v>
      </c>
      <c r="E23" s="374">
        <f>F23+I23</f>
        <v>1488000</v>
      </c>
      <c r="F23" s="97">
        <v>1488000</v>
      </c>
      <c r="G23" s="97"/>
      <c r="H23" s="97"/>
      <c r="I23" s="97"/>
      <c r="J23" s="374">
        <f t="shared" si="4"/>
        <v>0</v>
      </c>
      <c r="K23" s="97"/>
      <c r="L23" s="97">
        <f>544.2-544.2</f>
        <v>0</v>
      </c>
      <c r="M23" s="97"/>
      <c r="N23" s="97"/>
      <c r="O23" s="97"/>
      <c r="P23" s="97">
        <f t="shared" si="3"/>
        <v>1488000</v>
      </c>
    </row>
    <row r="24" spans="1:16" s="376" customFormat="1" ht="35.25" customHeight="1">
      <c r="A24" s="10" t="s">
        <v>380</v>
      </c>
      <c r="B24" s="10" t="s">
        <v>382</v>
      </c>
      <c r="C24" s="10" t="s">
        <v>191</v>
      </c>
      <c r="D24" s="98" t="s">
        <v>381</v>
      </c>
      <c r="E24" s="374">
        <f>F24+I24</f>
        <v>4474283</v>
      </c>
      <c r="F24" s="97">
        <f>246000+1182100+25438+344500+50000+132000+1295000+115078+131000+320000+187091+1400000-1200000+246076</f>
        <v>4474283</v>
      </c>
      <c r="G24" s="97"/>
      <c r="H24" s="97"/>
      <c r="I24" s="97"/>
      <c r="J24" s="374">
        <f>L24+O24</f>
        <v>0</v>
      </c>
      <c r="K24" s="97"/>
      <c r="L24" s="97"/>
      <c r="M24" s="97"/>
      <c r="N24" s="97"/>
      <c r="O24" s="97"/>
      <c r="P24" s="97">
        <f>J24+E24</f>
        <v>4474283</v>
      </c>
    </row>
    <row r="25" spans="1:16" s="377" customFormat="1" ht="35.25" customHeight="1">
      <c r="A25" s="129"/>
      <c r="B25" s="129" t="s">
        <v>383</v>
      </c>
      <c r="C25" s="129"/>
      <c r="D25" s="130" t="s">
        <v>384</v>
      </c>
      <c r="E25" s="388">
        <f aca="true" t="shared" si="6" ref="E25:P25">SUM(E26:E28)</f>
        <v>398075</v>
      </c>
      <c r="F25" s="388">
        <f t="shared" si="6"/>
        <v>398075</v>
      </c>
      <c r="G25" s="388">
        <f t="shared" si="6"/>
        <v>0</v>
      </c>
      <c r="H25" s="388">
        <f t="shared" si="6"/>
        <v>0</v>
      </c>
      <c r="I25" s="388">
        <f t="shared" si="6"/>
        <v>0</v>
      </c>
      <c r="J25" s="388">
        <f t="shared" si="6"/>
        <v>0</v>
      </c>
      <c r="K25" s="388">
        <f t="shared" si="6"/>
        <v>0</v>
      </c>
      <c r="L25" s="388">
        <f t="shared" si="6"/>
        <v>0</v>
      </c>
      <c r="M25" s="388">
        <f t="shared" si="6"/>
        <v>0</v>
      </c>
      <c r="N25" s="388">
        <f t="shared" si="6"/>
        <v>0</v>
      </c>
      <c r="O25" s="388">
        <f t="shared" si="6"/>
        <v>0</v>
      </c>
      <c r="P25" s="388">
        <f t="shared" si="6"/>
        <v>398075</v>
      </c>
    </row>
    <row r="26" spans="1:16" s="376" customFormat="1" ht="42.75" customHeight="1">
      <c r="A26" s="10" t="s">
        <v>505</v>
      </c>
      <c r="B26" s="10" t="s">
        <v>506</v>
      </c>
      <c r="C26" s="10" t="s">
        <v>194</v>
      </c>
      <c r="D26" s="367" t="s">
        <v>507</v>
      </c>
      <c r="E26" s="374">
        <f>F26+I26</f>
        <v>198075</v>
      </c>
      <c r="F26" s="97">
        <f>50000+48075+100000</f>
        <v>198075</v>
      </c>
      <c r="G26" s="97"/>
      <c r="H26" s="97"/>
      <c r="I26" s="97"/>
      <c r="J26" s="374">
        <f>L26+O26</f>
        <v>0</v>
      </c>
      <c r="K26" s="97"/>
      <c r="L26" s="97"/>
      <c r="M26" s="97"/>
      <c r="N26" s="97"/>
      <c r="O26" s="97"/>
      <c r="P26" s="97">
        <f>J26+E26</f>
        <v>198075</v>
      </c>
    </row>
    <row r="27" spans="1:16" s="376" customFormat="1" ht="79.5" customHeight="1">
      <c r="A27" s="10" t="s">
        <v>387</v>
      </c>
      <c r="B27" s="10" t="s">
        <v>388</v>
      </c>
      <c r="C27" s="10" t="s">
        <v>194</v>
      </c>
      <c r="D27" s="98" t="s">
        <v>389</v>
      </c>
      <c r="E27" s="374">
        <f>F27+I27</f>
        <v>200000</v>
      </c>
      <c r="F27" s="97">
        <f>200000</f>
        <v>200000</v>
      </c>
      <c r="G27" s="97"/>
      <c r="H27" s="97"/>
      <c r="I27" s="97"/>
      <c r="J27" s="374">
        <f>L27+O27</f>
        <v>0</v>
      </c>
      <c r="K27" s="97"/>
      <c r="L27" s="97"/>
      <c r="M27" s="97"/>
      <c r="N27" s="97"/>
      <c r="O27" s="97"/>
      <c r="P27" s="97">
        <f>J27+E27</f>
        <v>200000</v>
      </c>
    </row>
    <row r="28" spans="1:16" s="376" customFormat="1" ht="42.75" customHeight="1" hidden="1">
      <c r="A28" s="10" t="s">
        <v>197</v>
      </c>
      <c r="B28" s="10" t="s">
        <v>198</v>
      </c>
      <c r="C28" s="10" t="s">
        <v>196</v>
      </c>
      <c r="D28" s="98" t="s">
        <v>199</v>
      </c>
      <c r="E28" s="374">
        <f>F28+I28</f>
        <v>0</v>
      </c>
      <c r="F28" s="97"/>
      <c r="G28" s="97"/>
      <c r="H28" s="97"/>
      <c r="I28" s="97"/>
      <c r="J28" s="374">
        <f t="shared" si="4"/>
        <v>0</v>
      </c>
      <c r="K28" s="97"/>
      <c r="L28" s="97"/>
      <c r="M28" s="97"/>
      <c r="N28" s="97"/>
      <c r="O28" s="97"/>
      <c r="P28" s="97">
        <f t="shared" si="3"/>
        <v>0</v>
      </c>
    </row>
    <row r="29" spans="1:16" s="377" customFormat="1" ht="42.75" customHeight="1">
      <c r="A29" s="129"/>
      <c r="B29" s="129" t="s">
        <v>392</v>
      </c>
      <c r="C29" s="129"/>
      <c r="D29" s="130" t="s">
        <v>393</v>
      </c>
      <c r="E29" s="388">
        <f>SUM(E30:E34)</f>
        <v>25600855</v>
      </c>
      <c r="F29" s="388">
        <f aca="true" t="shared" si="7" ref="F29:P29">SUM(F30:F34)</f>
        <v>0</v>
      </c>
      <c r="G29" s="388">
        <f t="shared" si="7"/>
        <v>0</v>
      </c>
      <c r="H29" s="388">
        <f t="shared" si="7"/>
        <v>0</v>
      </c>
      <c r="I29" s="388">
        <f t="shared" si="7"/>
        <v>25600855</v>
      </c>
      <c r="J29" s="388">
        <f t="shared" si="7"/>
        <v>5494867</v>
      </c>
      <c r="K29" s="388">
        <f t="shared" si="7"/>
        <v>5494867</v>
      </c>
      <c r="L29" s="388">
        <f t="shared" si="7"/>
        <v>0</v>
      </c>
      <c r="M29" s="388">
        <f t="shared" si="7"/>
        <v>0</v>
      </c>
      <c r="N29" s="388">
        <f t="shared" si="7"/>
        <v>0</v>
      </c>
      <c r="O29" s="388">
        <f t="shared" si="7"/>
        <v>5494867</v>
      </c>
      <c r="P29" s="388">
        <f t="shared" si="7"/>
        <v>31095722</v>
      </c>
    </row>
    <row r="30" spans="1:16" s="376" customFormat="1" ht="39" customHeight="1">
      <c r="A30" s="10" t="s">
        <v>79</v>
      </c>
      <c r="B30" s="10" t="s">
        <v>80</v>
      </c>
      <c r="C30" s="10" t="s">
        <v>202</v>
      </c>
      <c r="D30" s="367" t="s">
        <v>81</v>
      </c>
      <c r="E30" s="374">
        <f>F30+I30</f>
        <v>200000</v>
      </c>
      <c r="F30" s="97"/>
      <c r="G30" s="97"/>
      <c r="H30" s="97"/>
      <c r="I30" s="97">
        <f>200000</f>
        <v>200000</v>
      </c>
      <c r="J30" s="374">
        <f>L30+O30</f>
        <v>0</v>
      </c>
      <c r="K30" s="97"/>
      <c r="L30" s="97"/>
      <c r="M30" s="97"/>
      <c r="N30" s="97"/>
      <c r="O30" s="97"/>
      <c r="P30" s="97">
        <f>J30+E30</f>
        <v>200000</v>
      </c>
    </row>
    <row r="31" spans="1:16" s="376" customFormat="1" ht="39" customHeight="1">
      <c r="A31" s="10" t="s">
        <v>200</v>
      </c>
      <c r="B31" s="10" t="s">
        <v>201</v>
      </c>
      <c r="C31" s="10" t="s">
        <v>202</v>
      </c>
      <c r="D31" s="367" t="s">
        <v>203</v>
      </c>
      <c r="E31" s="374">
        <f>F31+I31</f>
        <v>3928865</v>
      </c>
      <c r="F31" s="97"/>
      <c r="G31" s="97"/>
      <c r="H31" s="97"/>
      <c r="I31" s="97">
        <f>3000000+267300+32140+35000+96000+108425+390000</f>
        <v>3928865</v>
      </c>
      <c r="J31" s="374">
        <f t="shared" si="4"/>
        <v>369875</v>
      </c>
      <c r="K31" s="97">
        <f>48800+207300+113775</f>
        <v>369875</v>
      </c>
      <c r="L31" s="97"/>
      <c r="M31" s="97"/>
      <c r="N31" s="97"/>
      <c r="O31" s="97">
        <f>48800+207300+113775</f>
        <v>369875</v>
      </c>
      <c r="P31" s="97">
        <f t="shared" si="3"/>
        <v>4298740</v>
      </c>
    </row>
    <row r="32" spans="1:16" s="376" customFormat="1" ht="27" customHeight="1">
      <c r="A32" s="10" t="s">
        <v>109</v>
      </c>
      <c r="B32" s="10" t="s">
        <v>110</v>
      </c>
      <c r="C32" s="10" t="s">
        <v>202</v>
      </c>
      <c r="D32" s="367" t="s">
        <v>111</v>
      </c>
      <c r="E32" s="374">
        <f>F32+I32</f>
        <v>60000</v>
      </c>
      <c r="F32" s="97"/>
      <c r="G32" s="97"/>
      <c r="H32" s="97"/>
      <c r="I32" s="97">
        <v>60000</v>
      </c>
      <c r="J32" s="374">
        <f>L32+O32</f>
        <v>0</v>
      </c>
      <c r="K32" s="97"/>
      <c r="L32" s="97"/>
      <c r="M32" s="97"/>
      <c r="N32" s="97"/>
      <c r="O32" s="97"/>
      <c r="P32" s="97">
        <f>J32+E32</f>
        <v>60000</v>
      </c>
    </row>
    <row r="33" spans="1:16" s="376" customFormat="1" ht="24.75" customHeight="1">
      <c r="A33" s="10" t="s">
        <v>204</v>
      </c>
      <c r="B33" s="10" t="s">
        <v>205</v>
      </c>
      <c r="C33" s="10" t="s">
        <v>202</v>
      </c>
      <c r="D33" s="367" t="s">
        <v>206</v>
      </c>
      <c r="E33" s="374">
        <f>F33+I33</f>
        <v>21411990</v>
      </c>
      <c r="F33" s="97"/>
      <c r="G33" s="97"/>
      <c r="H33" s="97"/>
      <c r="I33" s="97">
        <f>10070000+6200000+230000+636730+75000+680700+525000+517360+38000+598600+1840600</f>
        <v>21411990</v>
      </c>
      <c r="J33" s="374">
        <f t="shared" si="4"/>
        <v>4324992</v>
      </c>
      <c r="K33" s="97">
        <f>675464+45210+274536+3032000-132218+430000</f>
        <v>4324992</v>
      </c>
      <c r="L33" s="97"/>
      <c r="M33" s="97"/>
      <c r="N33" s="97"/>
      <c r="O33" s="97">
        <f>675464+45210+274536+3032000-132218+430000</f>
        <v>4324992</v>
      </c>
      <c r="P33" s="97">
        <f t="shared" si="3"/>
        <v>25736982</v>
      </c>
    </row>
    <row r="34" spans="1:16" s="376" customFormat="1" ht="48" customHeight="1">
      <c r="A34" s="10" t="s">
        <v>207</v>
      </c>
      <c r="B34" s="10" t="s">
        <v>208</v>
      </c>
      <c r="C34" s="10" t="s">
        <v>209</v>
      </c>
      <c r="D34" s="367" t="s">
        <v>210</v>
      </c>
      <c r="E34" s="374">
        <f>F34+I34</f>
        <v>0</v>
      </c>
      <c r="F34" s="97"/>
      <c r="G34" s="97"/>
      <c r="H34" s="97"/>
      <c r="I34" s="97"/>
      <c r="J34" s="374">
        <f t="shared" si="4"/>
        <v>800000</v>
      </c>
      <c r="K34" s="97">
        <f>400000+400000</f>
        <v>800000</v>
      </c>
      <c r="L34" s="97"/>
      <c r="M34" s="97"/>
      <c r="N34" s="97"/>
      <c r="O34" s="97">
        <f>400000+400000</f>
        <v>800000</v>
      </c>
      <c r="P34" s="97">
        <f t="shared" si="3"/>
        <v>800000</v>
      </c>
    </row>
    <row r="35" spans="1:16" s="377" customFormat="1" ht="33.75" customHeight="1">
      <c r="A35" s="129"/>
      <c r="B35" s="129" t="s">
        <v>394</v>
      </c>
      <c r="C35" s="129"/>
      <c r="D35" s="131" t="s">
        <v>395</v>
      </c>
      <c r="E35" s="388">
        <f>SUM(E36:E44)</f>
        <v>7363550</v>
      </c>
      <c r="F35" s="388">
        <f aca="true" t="shared" si="8" ref="F35:P35">SUM(F36:F44)</f>
        <v>372250</v>
      </c>
      <c r="G35" s="388">
        <f t="shared" si="8"/>
        <v>0</v>
      </c>
      <c r="H35" s="388">
        <f t="shared" si="8"/>
        <v>0</v>
      </c>
      <c r="I35" s="388">
        <f t="shared" si="8"/>
        <v>6991300</v>
      </c>
      <c r="J35" s="388">
        <f t="shared" si="8"/>
        <v>56911996</v>
      </c>
      <c r="K35" s="388">
        <f t="shared" si="8"/>
        <v>6362131</v>
      </c>
      <c r="L35" s="388">
        <f t="shared" si="8"/>
        <v>459865</v>
      </c>
      <c r="M35" s="388">
        <f t="shared" si="8"/>
        <v>0</v>
      </c>
      <c r="N35" s="388">
        <f t="shared" si="8"/>
        <v>0</v>
      </c>
      <c r="O35" s="388">
        <f t="shared" si="8"/>
        <v>56452131</v>
      </c>
      <c r="P35" s="388">
        <f t="shared" si="8"/>
        <v>64275546</v>
      </c>
    </row>
    <row r="36" spans="1:16" s="376" customFormat="1" ht="26.25" customHeight="1">
      <c r="A36" s="10" t="s">
        <v>211</v>
      </c>
      <c r="B36" s="10" t="s">
        <v>212</v>
      </c>
      <c r="C36" s="10" t="s">
        <v>213</v>
      </c>
      <c r="D36" s="367" t="s">
        <v>214</v>
      </c>
      <c r="E36" s="374">
        <f>F36+I36</f>
        <v>312250</v>
      </c>
      <c r="F36" s="97">
        <f>1200000+14400-200000+197850-900000</f>
        <v>312250</v>
      </c>
      <c r="G36" s="97"/>
      <c r="H36" s="97"/>
      <c r="I36" s="97"/>
      <c r="J36" s="374">
        <f t="shared" si="4"/>
        <v>800000</v>
      </c>
      <c r="K36" s="97">
        <f>800000</f>
        <v>800000</v>
      </c>
      <c r="L36" s="97">
        <f>1350-1350</f>
        <v>0</v>
      </c>
      <c r="M36" s="97"/>
      <c r="N36" s="97"/>
      <c r="O36" s="97">
        <f>800000</f>
        <v>800000</v>
      </c>
      <c r="P36" s="97">
        <f t="shared" si="3"/>
        <v>1112250</v>
      </c>
    </row>
    <row r="37" spans="1:16" s="376" customFormat="1" ht="26.25" customHeight="1">
      <c r="A37" s="10" t="s">
        <v>122</v>
      </c>
      <c r="B37" s="10" t="s">
        <v>123</v>
      </c>
      <c r="C37" s="10" t="s">
        <v>362</v>
      </c>
      <c r="D37" s="367" t="s">
        <v>124</v>
      </c>
      <c r="E37" s="374"/>
      <c r="F37" s="97"/>
      <c r="G37" s="97"/>
      <c r="H37" s="97"/>
      <c r="I37" s="97"/>
      <c r="J37" s="374">
        <f t="shared" si="4"/>
        <v>1200000</v>
      </c>
      <c r="K37" s="97">
        <v>1200000</v>
      </c>
      <c r="L37" s="97"/>
      <c r="M37" s="97"/>
      <c r="N37" s="97"/>
      <c r="O37" s="97">
        <v>1200000</v>
      </c>
      <c r="P37" s="97">
        <f t="shared" si="3"/>
        <v>1200000</v>
      </c>
    </row>
    <row r="38" spans="1:16" s="376" customFormat="1" ht="30" customHeight="1">
      <c r="A38" s="10" t="s">
        <v>119</v>
      </c>
      <c r="B38" s="10" t="s">
        <v>120</v>
      </c>
      <c r="C38" s="10" t="s">
        <v>224</v>
      </c>
      <c r="D38" s="367" t="s">
        <v>121</v>
      </c>
      <c r="E38" s="374"/>
      <c r="F38" s="97"/>
      <c r="G38" s="97"/>
      <c r="H38" s="97"/>
      <c r="I38" s="97"/>
      <c r="J38" s="374">
        <f>L38+O38</f>
        <v>50000000</v>
      </c>
      <c r="K38" s="97"/>
      <c r="L38" s="97"/>
      <c r="M38" s="97"/>
      <c r="N38" s="97"/>
      <c r="O38" s="97">
        <v>50000000</v>
      </c>
      <c r="P38" s="97">
        <f>J38+E38</f>
        <v>50000000</v>
      </c>
    </row>
    <row r="39" spans="1:16" s="376" customFormat="1" ht="35.25" customHeight="1">
      <c r="A39" s="10" t="s">
        <v>215</v>
      </c>
      <c r="B39" s="10" t="s">
        <v>216</v>
      </c>
      <c r="C39" s="10" t="s">
        <v>217</v>
      </c>
      <c r="D39" s="98" t="s">
        <v>218</v>
      </c>
      <c r="E39" s="374">
        <f aca="true" t="shared" si="9" ref="E39:E44">F39+I39</f>
        <v>6991300</v>
      </c>
      <c r="F39" s="97"/>
      <c r="G39" s="97"/>
      <c r="H39" s="97"/>
      <c r="I39" s="97">
        <f>1000000+91300+4010900+1989100-1000000+900000</f>
        <v>6991300</v>
      </c>
      <c r="J39" s="374">
        <f t="shared" si="4"/>
        <v>4350000</v>
      </c>
      <c r="K39" s="97">
        <f>1000000+3250000+100000</f>
        <v>4350000</v>
      </c>
      <c r="L39" s="97"/>
      <c r="M39" s="97"/>
      <c r="N39" s="97"/>
      <c r="O39" s="97">
        <f>1000000+3250000+100000</f>
        <v>4350000</v>
      </c>
      <c r="P39" s="97">
        <f t="shared" si="3"/>
        <v>11341300</v>
      </c>
    </row>
    <row r="40" spans="1:16" s="376" customFormat="1" ht="27" customHeight="1" hidden="1">
      <c r="A40" s="10" t="s">
        <v>219</v>
      </c>
      <c r="B40" s="10" t="s">
        <v>220</v>
      </c>
      <c r="C40" s="10" t="s">
        <v>217</v>
      </c>
      <c r="D40" s="98" t="s">
        <v>221</v>
      </c>
      <c r="E40" s="374">
        <f t="shared" si="9"/>
        <v>0</v>
      </c>
      <c r="F40" s="97"/>
      <c r="G40" s="97"/>
      <c r="H40" s="97"/>
      <c r="I40" s="97"/>
      <c r="J40" s="374">
        <f t="shared" si="4"/>
        <v>0</v>
      </c>
      <c r="K40" s="97"/>
      <c r="L40" s="97"/>
      <c r="M40" s="97"/>
      <c r="N40" s="97"/>
      <c r="O40" s="97"/>
      <c r="P40" s="97">
        <f t="shared" si="3"/>
        <v>0</v>
      </c>
    </row>
    <row r="41" spans="1:16" s="376" customFormat="1" ht="42.75" customHeight="1">
      <c r="A41" s="10" t="s">
        <v>404</v>
      </c>
      <c r="B41" s="10" t="s">
        <v>405</v>
      </c>
      <c r="C41" s="10" t="s">
        <v>224</v>
      </c>
      <c r="D41" s="98" t="s">
        <v>406</v>
      </c>
      <c r="E41" s="374">
        <f t="shared" si="9"/>
        <v>0</v>
      </c>
      <c r="F41" s="97"/>
      <c r="G41" s="97"/>
      <c r="H41" s="97"/>
      <c r="I41" s="97"/>
      <c r="J41" s="374">
        <f>L41+O41</f>
        <v>12131</v>
      </c>
      <c r="K41" s="97">
        <f>2300+6554+3277</f>
        <v>12131</v>
      </c>
      <c r="L41" s="97"/>
      <c r="M41" s="97"/>
      <c r="N41" s="97"/>
      <c r="O41" s="97">
        <f>2300+6554+3277</f>
        <v>12131</v>
      </c>
      <c r="P41" s="97">
        <f>J41+E41</f>
        <v>12131</v>
      </c>
    </row>
    <row r="42" spans="1:16" s="376" customFormat="1" ht="41.25" customHeight="1">
      <c r="A42" s="10" t="s">
        <v>222</v>
      </c>
      <c r="B42" s="10" t="s">
        <v>223</v>
      </c>
      <c r="C42" s="10" t="s">
        <v>224</v>
      </c>
      <c r="D42" s="367" t="s">
        <v>225</v>
      </c>
      <c r="E42" s="374">
        <f t="shared" si="9"/>
        <v>60000</v>
      </c>
      <c r="F42" s="97">
        <v>60000</v>
      </c>
      <c r="G42" s="97"/>
      <c r="H42" s="97"/>
      <c r="I42" s="97"/>
      <c r="J42" s="374">
        <f t="shared" si="4"/>
        <v>0</v>
      </c>
      <c r="K42" s="97"/>
      <c r="L42" s="97"/>
      <c r="M42" s="97"/>
      <c r="N42" s="97"/>
      <c r="O42" s="97"/>
      <c r="P42" s="97">
        <f t="shared" si="3"/>
        <v>60000</v>
      </c>
    </row>
    <row r="43" spans="1:16" s="376" customFormat="1" ht="120" customHeight="1">
      <c r="A43" s="10" t="s">
        <v>438</v>
      </c>
      <c r="B43" s="10" t="s">
        <v>439</v>
      </c>
      <c r="C43" s="10" t="s">
        <v>224</v>
      </c>
      <c r="D43" s="367" t="s">
        <v>440</v>
      </c>
      <c r="E43" s="374">
        <f t="shared" si="9"/>
        <v>0</v>
      </c>
      <c r="F43" s="97"/>
      <c r="G43" s="97"/>
      <c r="H43" s="97"/>
      <c r="I43" s="97"/>
      <c r="J43" s="374">
        <f t="shared" si="4"/>
        <v>549865</v>
      </c>
      <c r="K43" s="97"/>
      <c r="L43" s="97">
        <f>97440+194250+76925+91250</f>
        <v>459865</v>
      </c>
      <c r="M43" s="97"/>
      <c r="N43" s="97"/>
      <c r="O43" s="97">
        <f>90000</f>
        <v>90000</v>
      </c>
      <c r="P43" s="97">
        <f t="shared" si="3"/>
        <v>549865</v>
      </c>
    </row>
    <row r="44" spans="1:16" s="376" customFormat="1" ht="27" customHeight="1" hidden="1">
      <c r="A44" s="10" t="s">
        <v>226</v>
      </c>
      <c r="B44" s="10" t="s">
        <v>227</v>
      </c>
      <c r="C44" s="10" t="s">
        <v>224</v>
      </c>
      <c r="D44" s="98" t="s">
        <v>228</v>
      </c>
      <c r="E44" s="374">
        <f t="shared" si="9"/>
        <v>0</v>
      </c>
      <c r="F44" s="97"/>
      <c r="G44" s="97"/>
      <c r="H44" s="97"/>
      <c r="I44" s="97"/>
      <c r="J44" s="374">
        <f t="shared" si="4"/>
        <v>0</v>
      </c>
      <c r="K44" s="97"/>
      <c r="L44" s="97"/>
      <c r="M44" s="97"/>
      <c r="N44" s="97"/>
      <c r="O44" s="97"/>
      <c r="P44" s="97">
        <f t="shared" si="3"/>
        <v>0</v>
      </c>
    </row>
    <row r="45" spans="1:16" s="377" customFormat="1" ht="27" customHeight="1">
      <c r="A45" s="129"/>
      <c r="B45" s="129" t="s">
        <v>407</v>
      </c>
      <c r="C45" s="129"/>
      <c r="D45" s="130" t="s">
        <v>408</v>
      </c>
      <c r="E45" s="388">
        <f>SUM(E46:E49)</f>
        <v>1155000</v>
      </c>
      <c r="F45" s="388">
        <f aca="true" t="shared" si="10" ref="F45:P45">SUM(F46:F49)</f>
        <v>1155000</v>
      </c>
      <c r="G45" s="388">
        <f t="shared" si="10"/>
        <v>0</v>
      </c>
      <c r="H45" s="388">
        <f t="shared" si="10"/>
        <v>0</v>
      </c>
      <c r="I45" s="388">
        <f t="shared" si="10"/>
        <v>0</v>
      </c>
      <c r="J45" s="388">
        <f t="shared" si="10"/>
        <v>360000</v>
      </c>
      <c r="K45" s="388">
        <f t="shared" si="10"/>
        <v>199000</v>
      </c>
      <c r="L45" s="388">
        <f t="shared" si="10"/>
        <v>61000</v>
      </c>
      <c r="M45" s="388">
        <f t="shared" si="10"/>
        <v>0</v>
      </c>
      <c r="N45" s="388">
        <f t="shared" si="10"/>
        <v>0</v>
      </c>
      <c r="O45" s="388">
        <f t="shared" si="10"/>
        <v>299000</v>
      </c>
      <c r="P45" s="388">
        <f t="shared" si="10"/>
        <v>1515000</v>
      </c>
    </row>
    <row r="46" spans="1:16" s="377" customFormat="1" ht="34.5" customHeight="1">
      <c r="A46" s="10" t="s">
        <v>527</v>
      </c>
      <c r="B46" s="10" t="s">
        <v>525</v>
      </c>
      <c r="C46" s="10" t="s">
        <v>409</v>
      </c>
      <c r="D46" s="98" t="s">
        <v>526</v>
      </c>
      <c r="E46" s="374">
        <f>F46+I46</f>
        <v>250000</v>
      </c>
      <c r="F46" s="97">
        <f>200000+50000</f>
        <v>250000</v>
      </c>
      <c r="G46" s="97"/>
      <c r="H46" s="97"/>
      <c r="I46" s="97"/>
      <c r="J46" s="374">
        <f>L46+O46</f>
        <v>0</v>
      </c>
      <c r="K46" s="97"/>
      <c r="L46" s="97"/>
      <c r="M46" s="97"/>
      <c r="N46" s="97"/>
      <c r="O46" s="97"/>
      <c r="P46" s="97">
        <f>J46+E46</f>
        <v>250000</v>
      </c>
    </row>
    <row r="47" spans="1:16" s="377" customFormat="1" ht="34.5" customHeight="1">
      <c r="A47" s="10" t="s">
        <v>2</v>
      </c>
      <c r="B47" s="10" t="s">
        <v>3</v>
      </c>
      <c r="C47" s="10" t="s">
        <v>229</v>
      </c>
      <c r="D47" s="98" t="s">
        <v>4</v>
      </c>
      <c r="E47" s="374">
        <f>F47+I47</f>
        <v>50000</v>
      </c>
      <c r="F47" s="97">
        <v>50000</v>
      </c>
      <c r="G47" s="97"/>
      <c r="H47" s="97"/>
      <c r="I47" s="97"/>
      <c r="J47" s="374">
        <f>L47+O47</f>
        <v>199000</v>
      </c>
      <c r="K47" s="97">
        <v>199000</v>
      </c>
      <c r="L47" s="97"/>
      <c r="M47" s="97"/>
      <c r="N47" s="97"/>
      <c r="O47" s="97">
        <v>199000</v>
      </c>
      <c r="P47" s="97">
        <f>J47+E47</f>
        <v>249000</v>
      </c>
    </row>
    <row r="48" spans="1:16" s="376" customFormat="1" ht="27" customHeight="1">
      <c r="A48" s="10" t="s">
        <v>509</v>
      </c>
      <c r="B48" s="10" t="s">
        <v>510</v>
      </c>
      <c r="C48" s="10" t="s">
        <v>229</v>
      </c>
      <c r="D48" s="98" t="s">
        <v>511</v>
      </c>
      <c r="E48" s="374">
        <f>F48+I48</f>
        <v>855000</v>
      </c>
      <c r="F48" s="97">
        <f>500000+55000+300000</f>
        <v>855000</v>
      </c>
      <c r="G48" s="97"/>
      <c r="H48" s="97"/>
      <c r="I48" s="97"/>
      <c r="J48" s="374">
        <f>L48+O48</f>
        <v>0</v>
      </c>
      <c r="K48" s="97"/>
      <c r="L48" s="97"/>
      <c r="M48" s="97"/>
      <c r="N48" s="97"/>
      <c r="O48" s="97"/>
      <c r="P48" s="97">
        <f>J48+E48</f>
        <v>855000</v>
      </c>
    </row>
    <row r="49" spans="1:16" s="376" customFormat="1" ht="27" customHeight="1">
      <c r="A49" s="10" t="s">
        <v>230</v>
      </c>
      <c r="B49" s="10" t="s">
        <v>231</v>
      </c>
      <c r="C49" s="10" t="s">
        <v>232</v>
      </c>
      <c r="D49" s="369" t="s">
        <v>233</v>
      </c>
      <c r="E49" s="374">
        <f>F49+I49</f>
        <v>0</v>
      </c>
      <c r="F49" s="97"/>
      <c r="G49" s="97"/>
      <c r="H49" s="97"/>
      <c r="I49" s="97"/>
      <c r="J49" s="374">
        <f>L49+O49</f>
        <v>161000</v>
      </c>
      <c r="K49" s="97"/>
      <c r="L49" s="97">
        <f>45000+10000+6000</f>
        <v>61000</v>
      </c>
      <c r="M49" s="97"/>
      <c r="N49" s="97"/>
      <c r="O49" s="97">
        <v>100000</v>
      </c>
      <c r="P49" s="97">
        <f>J49+E49</f>
        <v>161000</v>
      </c>
    </row>
    <row r="50" spans="1:16" s="377" customFormat="1" ht="27" customHeight="1">
      <c r="A50" s="129"/>
      <c r="B50" s="129" t="s">
        <v>428</v>
      </c>
      <c r="C50" s="129"/>
      <c r="D50" s="130" t="s">
        <v>429</v>
      </c>
      <c r="E50" s="388">
        <f>SUM(E51)</f>
        <v>170000</v>
      </c>
      <c r="F50" s="388">
        <f aca="true" t="shared" si="11" ref="F50:P50">SUM(F51)</f>
        <v>170000</v>
      </c>
      <c r="G50" s="388">
        <f t="shared" si="11"/>
        <v>0</v>
      </c>
      <c r="H50" s="388">
        <f t="shared" si="11"/>
        <v>0</v>
      </c>
      <c r="I50" s="388">
        <f t="shared" si="11"/>
        <v>0</v>
      </c>
      <c r="J50" s="388">
        <f t="shared" si="11"/>
        <v>100000</v>
      </c>
      <c r="K50" s="388">
        <f t="shared" si="11"/>
        <v>100000</v>
      </c>
      <c r="L50" s="388">
        <f t="shared" si="11"/>
        <v>0</v>
      </c>
      <c r="M50" s="388">
        <f t="shared" si="11"/>
        <v>0</v>
      </c>
      <c r="N50" s="388">
        <f t="shared" si="11"/>
        <v>0</v>
      </c>
      <c r="O50" s="388">
        <f t="shared" si="11"/>
        <v>100000</v>
      </c>
      <c r="P50" s="388">
        <f t="shared" si="11"/>
        <v>270000</v>
      </c>
    </row>
    <row r="51" spans="1:16" s="377" customFormat="1" ht="57.75" customHeight="1">
      <c r="A51" s="10" t="s">
        <v>451</v>
      </c>
      <c r="B51" s="10" t="s">
        <v>452</v>
      </c>
      <c r="C51" s="10" t="s">
        <v>180</v>
      </c>
      <c r="D51" s="98" t="s">
        <v>453</v>
      </c>
      <c r="E51" s="374">
        <f>F51+I51</f>
        <v>170000</v>
      </c>
      <c r="F51" s="97">
        <f>120000+50000</f>
        <v>170000</v>
      </c>
      <c r="G51" s="97"/>
      <c r="H51" s="97"/>
      <c r="I51" s="97"/>
      <c r="J51" s="374">
        <f>L51+O51</f>
        <v>100000</v>
      </c>
      <c r="K51" s="97">
        <f>100000</f>
        <v>100000</v>
      </c>
      <c r="L51" s="97"/>
      <c r="M51" s="97"/>
      <c r="N51" s="97"/>
      <c r="O51" s="97">
        <v>100000</v>
      </c>
      <c r="P51" s="97">
        <f>J51+E51</f>
        <v>270000</v>
      </c>
    </row>
    <row r="52" spans="1:16" s="378" customFormat="1" ht="39" customHeight="1">
      <c r="A52" s="384" t="s">
        <v>234</v>
      </c>
      <c r="B52" s="384"/>
      <c r="C52" s="384"/>
      <c r="D52" s="385" t="s">
        <v>410</v>
      </c>
      <c r="E52" s="386">
        <f>E53</f>
        <v>198846556</v>
      </c>
      <c r="F52" s="386">
        <f aca="true" t="shared" si="12" ref="F52:P52">F53</f>
        <v>198846556</v>
      </c>
      <c r="G52" s="386">
        <f t="shared" si="12"/>
        <v>137202282</v>
      </c>
      <c r="H52" s="386">
        <f t="shared" si="12"/>
        <v>22072895</v>
      </c>
      <c r="I52" s="386">
        <f t="shared" si="12"/>
        <v>0</v>
      </c>
      <c r="J52" s="386">
        <f t="shared" si="12"/>
        <v>6785159</v>
      </c>
      <c r="K52" s="386">
        <f t="shared" si="12"/>
        <v>2684000</v>
      </c>
      <c r="L52" s="386">
        <f t="shared" si="12"/>
        <v>4101159</v>
      </c>
      <c r="M52" s="386">
        <f t="shared" si="12"/>
        <v>0</v>
      </c>
      <c r="N52" s="386">
        <f t="shared" si="12"/>
        <v>0</v>
      </c>
      <c r="O52" s="386">
        <f t="shared" si="12"/>
        <v>2684000</v>
      </c>
      <c r="P52" s="386">
        <f t="shared" si="12"/>
        <v>205631715</v>
      </c>
    </row>
    <row r="53" spans="1:16" s="378" customFormat="1" ht="40.5" customHeight="1">
      <c r="A53" s="384" t="s">
        <v>235</v>
      </c>
      <c r="B53" s="384"/>
      <c r="C53" s="384"/>
      <c r="D53" s="385" t="str">
        <f>D52</f>
        <v>Відділ освіти Тетіївської міської ради</v>
      </c>
      <c r="E53" s="386">
        <f>E54+E56+E73</f>
        <v>198846556</v>
      </c>
      <c r="F53" s="386">
        <f aca="true" t="shared" si="13" ref="F53:P53">F54+F56+F73</f>
        <v>198846556</v>
      </c>
      <c r="G53" s="386">
        <f t="shared" si="13"/>
        <v>137202282</v>
      </c>
      <c r="H53" s="386">
        <f t="shared" si="13"/>
        <v>22072895</v>
      </c>
      <c r="I53" s="386">
        <f t="shared" si="13"/>
        <v>0</v>
      </c>
      <c r="J53" s="386">
        <f t="shared" si="13"/>
        <v>6785159</v>
      </c>
      <c r="K53" s="386">
        <f t="shared" si="13"/>
        <v>2684000</v>
      </c>
      <c r="L53" s="386">
        <f t="shared" si="13"/>
        <v>4101159</v>
      </c>
      <c r="M53" s="386">
        <f t="shared" si="13"/>
        <v>0</v>
      </c>
      <c r="N53" s="386">
        <f t="shared" si="13"/>
        <v>0</v>
      </c>
      <c r="O53" s="386">
        <f t="shared" si="13"/>
        <v>2684000</v>
      </c>
      <c r="P53" s="386">
        <f t="shared" si="13"/>
        <v>205631715</v>
      </c>
    </row>
    <row r="54" spans="1:16" s="378" customFormat="1" ht="32.25" customHeight="1">
      <c r="A54" s="95"/>
      <c r="B54" s="95" t="s">
        <v>375</v>
      </c>
      <c r="C54" s="95"/>
      <c r="D54" s="96" t="s">
        <v>376</v>
      </c>
      <c r="E54" s="387">
        <f>E55</f>
        <v>1205040</v>
      </c>
      <c r="F54" s="387">
        <f aca="true" t="shared" si="14" ref="F54:P54">F55</f>
        <v>1205040</v>
      </c>
      <c r="G54" s="387">
        <f t="shared" si="14"/>
        <v>981200</v>
      </c>
      <c r="H54" s="387">
        <f t="shared" si="14"/>
        <v>0</v>
      </c>
      <c r="I54" s="387">
        <f t="shared" si="14"/>
        <v>0</v>
      </c>
      <c r="J54" s="387">
        <f t="shared" si="14"/>
        <v>0</v>
      </c>
      <c r="K54" s="387">
        <f t="shared" si="14"/>
        <v>0</v>
      </c>
      <c r="L54" s="387">
        <f t="shared" si="14"/>
        <v>0</v>
      </c>
      <c r="M54" s="387">
        <f t="shared" si="14"/>
        <v>0</v>
      </c>
      <c r="N54" s="387">
        <f t="shared" si="14"/>
        <v>0</v>
      </c>
      <c r="O54" s="387">
        <f t="shared" si="14"/>
        <v>0</v>
      </c>
      <c r="P54" s="387">
        <f t="shared" si="14"/>
        <v>1205040</v>
      </c>
    </row>
    <row r="55" spans="1:16" s="378" customFormat="1" ht="47.25" customHeight="1">
      <c r="A55" s="10" t="s">
        <v>236</v>
      </c>
      <c r="B55" s="10" t="s">
        <v>237</v>
      </c>
      <c r="C55" s="10" t="s">
        <v>176</v>
      </c>
      <c r="D55" s="98" t="s">
        <v>504</v>
      </c>
      <c r="E55" s="374">
        <f>F55+I55</f>
        <v>1205040</v>
      </c>
      <c r="F55" s="97">
        <f>1137900+1040+35300+30800</f>
        <v>1205040</v>
      </c>
      <c r="G55" s="97">
        <f>932700+23600+24900</f>
        <v>981200</v>
      </c>
      <c r="H55" s="366"/>
      <c r="I55" s="366"/>
      <c r="J55" s="374">
        <f>L55+O55</f>
        <v>0</v>
      </c>
      <c r="K55" s="366"/>
      <c r="L55" s="366"/>
      <c r="M55" s="366"/>
      <c r="N55" s="366"/>
      <c r="O55" s="366"/>
      <c r="P55" s="97">
        <f>J55+E55</f>
        <v>1205040</v>
      </c>
    </row>
    <row r="56" spans="1:16" s="377" customFormat="1" ht="40.5" customHeight="1">
      <c r="A56" s="129"/>
      <c r="B56" s="129" t="s">
        <v>411</v>
      </c>
      <c r="C56" s="129"/>
      <c r="D56" s="130" t="s">
        <v>412</v>
      </c>
      <c r="E56" s="388">
        <f>SUM(E57:E72)</f>
        <v>197641516</v>
      </c>
      <c r="F56" s="388">
        <f aca="true" t="shared" si="15" ref="F56:P56">SUM(F57:F72)</f>
        <v>197641516</v>
      </c>
      <c r="G56" s="388">
        <f t="shared" si="15"/>
        <v>136221082</v>
      </c>
      <c r="H56" s="388">
        <f t="shared" si="15"/>
        <v>22072895</v>
      </c>
      <c r="I56" s="388">
        <f t="shared" si="15"/>
        <v>0</v>
      </c>
      <c r="J56" s="388">
        <f t="shared" si="15"/>
        <v>6785159</v>
      </c>
      <c r="K56" s="388">
        <f t="shared" si="15"/>
        <v>2684000</v>
      </c>
      <c r="L56" s="388">
        <f t="shared" si="15"/>
        <v>4101159</v>
      </c>
      <c r="M56" s="388">
        <f t="shared" si="15"/>
        <v>0</v>
      </c>
      <c r="N56" s="388">
        <f t="shared" si="15"/>
        <v>0</v>
      </c>
      <c r="O56" s="388">
        <f t="shared" si="15"/>
        <v>2684000</v>
      </c>
      <c r="P56" s="388">
        <f t="shared" si="15"/>
        <v>204426675</v>
      </c>
    </row>
    <row r="57" spans="1:16" s="376" customFormat="1" ht="27" customHeight="1">
      <c r="A57" s="10" t="s">
        <v>238</v>
      </c>
      <c r="B57" s="10" t="s">
        <v>239</v>
      </c>
      <c r="C57" s="10" t="s">
        <v>240</v>
      </c>
      <c r="D57" s="370" t="s">
        <v>241</v>
      </c>
      <c r="E57" s="374">
        <f>F57+I57</f>
        <v>33596002</v>
      </c>
      <c r="F57" s="97">
        <f>32480700+358920+61565+1209300+195134+54970-764587</f>
        <v>33596002</v>
      </c>
      <c r="G57" s="97">
        <f>22189000+696200-1000000</f>
        <v>21885200</v>
      </c>
      <c r="H57" s="97">
        <f>4745000+228485</f>
        <v>4973485</v>
      </c>
      <c r="I57" s="97"/>
      <c r="J57" s="374">
        <f>L57+O57</f>
        <v>3511000</v>
      </c>
      <c r="K57" s="97">
        <f>900000+1200000+184000</f>
        <v>2284000</v>
      </c>
      <c r="L57" s="97">
        <v>1227000</v>
      </c>
      <c r="M57" s="97"/>
      <c r="N57" s="97"/>
      <c r="O57" s="97">
        <f>900000+1200000+184000</f>
        <v>2284000</v>
      </c>
      <c r="P57" s="97">
        <f>J57+E57</f>
        <v>37107002</v>
      </c>
    </row>
    <row r="58" spans="1:16" s="376" customFormat="1" ht="42.75" customHeight="1">
      <c r="A58" s="10" t="s">
        <v>242</v>
      </c>
      <c r="B58" s="10" t="s">
        <v>243</v>
      </c>
      <c r="C58" s="10" t="s">
        <v>244</v>
      </c>
      <c r="D58" s="98" t="s">
        <v>489</v>
      </c>
      <c r="E58" s="374">
        <f aca="true" t="shared" si="16" ref="E58:E71">F58+I58</f>
        <v>58218944</v>
      </c>
      <c r="F58" s="97">
        <f>52834600+1963300+1749203+99816+10000-295000+1359418+49000+200000+388036-3000+440440-576869</f>
        <v>58218944</v>
      </c>
      <c r="G58" s="97">
        <f>29521900+1609300+527100-1318310</f>
        <v>30339990</v>
      </c>
      <c r="H58" s="97">
        <f>15689000+1466810-445000</f>
        <v>16710810</v>
      </c>
      <c r="I58" s="97"/>
      <c r="J58" s="374">
        <f aca="true" t="shared" si="17" ref="J58:J71">L58+O58</f>
        <v>2584200</v>
      </c>
      <c r="K58" s="97"/>
      <c r="L58" s="97">
        <v>2584200</v>
      </c>
      <c r="M58" s="97"/>
      <c r="N58" s="97"/>
      <c r="O58" s="97"/>
      <c r="P58" s="97">
        <f aca="true" t="shared" si="18" ref="P58:P71">J58+E58</f>
        <v>60803144</v>
      </c>
    </row>
    <row r="59" spans="1:16" s="376" customFormat="1" ht="36" customHeight="1">
      <c r="A59" s="10" t="s">
        <v>247</v>
      </c>
      <c r="B59" s="10" t="s">
        <v>248</v>
      </c>
      <c r="C59" s="10" t="s">
        <v>244</v>
      </c>
      <c r="D59" s="98" t="s">
        <v>573</v>
      </c>
      <c r="E59" s="374">
        <f t="shared" si="16"/>
        <v>89254700</v>
      </c>
      <c r="F59" s="97">
        <f>89256900-2200</f>
        <v>89254700</v>
      </c>
      <c r="G59" s="97">
        <f>73256900+443200</f>
        <v>73700100</v>
      </c>
      <c r="H59" s="97"/>
      <c r="I59" s="97"/>
      <c r="J59" s="374">
        <f t="shared" si="17"/>
        <v>0</v>
      </c>
      <c r="K59" s="97"/>
      <c r="L59" s="97"/>
      <c r="M59" s="97"/>
      <c r="N59" s="97"/>
      <c r="O59" s="97"/>
      <c r="P59" s="97">
        <f t="shared" si="18"/>
        <v>89254700</v>
      </c>
    </row>
    <row r="60" spans="1:16" s="376" customFormat="1" ht="150" customHeight="1" hidden="1">
      <c r="A60" s="10" t="s">
        <v>436</v>
      </c>
      <c r="B60" s="10" t="s">
        <v>437</v>
      </c>
      <c r="C60" s="10" t="s">
        <v>244</v>
      </c>
      <c r="D60" s="98" t="s">
        <v>574</v>
      </c>
      <c r="E60" s="374">
        <f>F60+I60</f>
        <v>0</v>
      </c>
      <c r="F60" s="97"/>
      <c r="G60" s="97"/>
      <c r="H60" s="97"/>
      <c r="I60" s="97"/>
      <c r="J60" s="374">
        <f>L60+O60</f>
        <v>0</v>
      </c>
      <c r="K60" s="97"/>
      <c r="L60" s="97"/>
      <c r="M60" s="97"/>
      <c r="N60" s="97"/>
      <c r="O60" s="97"/>
      <c r="P60" s="97">
        <f>J60+E60</f>
        <v>0</v>
      </c>
    </row>
    <row r="61" spans="1:16" s="376" customFormat="1" ht="38.25" customHeight="1">
      <c r="A61" s="10" t="s">
        <v>249</v>
      </c>
      <c r="B61" s="10" t="s">
        <v>192</v>
      </c>
      <c r="C61" s="10" t="s">
        <v>250</v>
      </c>
      <c r="D61" s="367" t="s">
        <v>251</v>
      </c>
      <c r="E61" s="374">
        <f t="shared" si="16"/>
        <v>3155300</v>
      </c>
      <c r="F61" s="97">
        <f>3178600+30100+1700-55100</f>
        <v>3155300</v>
      </c>
      <c r="G61" s="97">
        <f>2350600+16500+4000</f>
        <v>2371100</v>
      </c>
      <c r="H61" s="97">
        <v>308900</v>
      </c>
      <c r="I61" s="97"/>
      <c r="J61" s="374">
        <f t="shared" si="17"/>
        <v>70000</v>
      </c>
      <c r="K61" s="97">
        <v>70000</v>
      </c>
      <c r="L61" s="97"/>
      <c r="M61" s="97"/>
      <c r="N61" s="97"/>
      <c r="O61" s="97">
        <v>70000</v>
      </c>
      <c r="P61" s="97">
        <f t="shared" si="18"/>
        <v>3225300</v>
      </c>
    </row>
    <row r="62" spans="1:16" s="376" customFormat="1" ht="31.5" customHeight="1">
      <c r="A62" s="10" t="s">
        <v>252</v>
      </c>
      <c r="B62" s="10" t="s">
        <v>253</v>
      </c>
      <c r="C62" s="10" t="s">
        <v>254</v>
      </c>
      <c r="D62" s="98" t="s">
        <v>255</v>
      </c>
      <c r="E62" s="374">
        <f t="shared" si="16"/>
        <v>7216640</v>
      </c>
      <c r="F62" s="97">
        <f>4951200+85360+295000+622660+80420+20600+1161400</f>
        <v>7216640</v>
      </c>
      <c r="G62" s="97">
        <f>3337100+161400+91200</f>
        <v>3589700</v>
      </c>
      <c r="H62" s="97"/>
      <c r="I62" s="97"/>
      <c r="J62" s="374">
        <f t="shared" si="17"/>
        <v>275000</v>
      </c>
      <c r="K62" s="97">
        <f>25000+250000</f>
        <v>275000</v>
      </c>
      <c r="L62" s="97"/>
      <c r="M62" s="97"/>
      <c r="N62" s="97"/>
      <c r="O62" s="97">
        <f>25000+250000</f>
        <v>275000</v>
      </c>
      <c r="P62" s="97">
        <f t="shared" si="18"/>
        <v>7491640</v>
      </c>
    </row>
    <row r="63" spans="1:16" s="376" customFormat="1" ht="27.75" customHeight="1">
      <c r="A63" s="10" t="s">
        <v>256</v>
      </c>
      <c r="B63" s="10" t="s">
        <v>257</v>
      </c>
      <c r="C63" s="10" t="s">
        <v>254</v>
      </c>
      <c r="D63" s="367" t="s">
        <v>258</v>
      </c>
      <c r="E63" s="374">
        <f t="shared" si="16"/>
        <v>782006</v>
      </c>
      <c r="F63" s="97">
        <f>150000+109100+18100+139806+75000+290000</f>
        <v>782006</v>
      </c>
      <c r="G63" s="97"/>
      <c r="H63" s="97"/>
      <c r="I63" s="97"/>
      <c r="J63" s="374">
        <f t="shared" si="17"/>
        <v>0</v>
      </c>
      <c r="K63" s="97"/>
      <c r="L63" s="97"/>
      <c r="M63" s="97"/>
      <c r="N63" s="97"/>
      <c r="O63" s="97"/>
      <c r="P63" s="97">
        <f t="shared" si="18"/>
        <v>782006</v>
      </c>
    </row>
    <row r="64" spans="1:16" s="376" customFormat="1" ht="39" customHeight="1">
      <c r="A64" s="10" t="s">
        <v>259</v>
      </c>
      <c r="B64" s="10" t="s">
        <v>260</v>
      </c>
      <c r="C64" s="10" t="s">
        <v>254</v>
      </c>
      <c r="D64" s="367" t="s">
        <v>261</v>
      </c>
      <c r="E64" s="374">
        <f t="shared" si="16"/>
        <v>145000</v>
      </c>
      <c r="F64" s="97">
        <f>139900+2000+3100</f>
        <v>145000</v>
      </c>
      <c r="G64" s="97">
        <f>42100+1600+1600</f>
        <v>45300</v>
      </c>
      <c r="H64" s="97">
        <v>79700</v>
      </c>
      <c r="I64" s="97"/>
      <c r="J64" s="374">
        <f t="shared" si="17"/>
        <v>55000</v>
      </c>
      <c r="K64" s="97">
        <f>55000</f>
        <v>55000</v>
      </c>
      <c r="L64" s="97"/>
      <c r="M64" s="97"/>
      <c r="N64" s="97"/>
      <c r="O64" s="97">
        <f>55000</f>
        <v>55000</v>
      </c>
      <c r="P64" s="97">
        <f t="shared" si="18"/>
        <v>200000</v>
      </c>
    </row>
    <row r="65" spans="1:16" s="376" customFormat="1" ht="42" customHeight="1">
      <c r="A65" s="10" t="s">
        <v>262</v>
      </c>
      <c r="B65" s="10" t="s">
        <v>263</v>
      </c>
      <c r="C65" s="10" t="s">
        <v>254</v>
      </c>
      <c r="D65" s="367" t="s">
        <v>264</v>
      </c>
      <c r="E65" s="374">
        <f t="shared" si="16"/>
        <v>2950560</v>
      </c>
      <c r="F65" s="97">
        <v>2950560</v>
      </c>
      <c r="G65" s="97">
        <v>2418500</v>
      </c>
      <c r="H65" s="97"/>
      <c r="I65" s="97"/>
      <c r="J65" s="374">
        <f t="shared" si="17"/>
        <v>0</v>
      </c>
      <c r="K65" s="97"/>
      <c r="L65" s="97"/>
      <c r="M65" s="97"/>
      <c r="N65" s="97"/>
      <c r="O65" s="97"/>
      <c r="P65" s="97">
        <f t="shared" si="18"/>
        <v>2950560</v>
      </c>
    </row>
    <row r="66" spans="1:16" s="376" customFormat="1" ht="50.25" customHeight="1">
      <c r="A66" s="10" t="s">
        <v>265</v>
      </c>
      <c r="B66" s="10" t="s">
        <v>266</v>
      </c>
      <c r="C66" s="10" t="s">
        <v>254</v>
      </c>
      <c r="D66" s="367" t="s">
        <v>267</v>
      </c>
      <c r="E66" s="374">
        <f t="shared" si="16"/>
        <v>1583794</v>
      </c>
      <c r="F66" s="97">
        <f>1009300+526694+47800</f>
        <v>1583794</v>
      </c>
      <c r="G66" s="97">
        <f>817500+431714+38600</f>
        <v>1287814</v>
      </c>
      <c r="H66" s="97"/>
      <c r="I66" s="97"/>
      <c r="J66" s="374">
        <f t="shared" si="17"/>
        <v>0</v>
      </c>
      <c r="K66" s="97"/>
      <c r="L66" s="97"/>
      <c r="M66" s="97"/>
      <c r="N66" s="97"/>
      <c r="O66" s="97"/>
      <c r="P66" s="97">
        <f t="shared" si="18"/>
        <v>1583794</v>
      </c>
    </row>
    <row r="67" spans="1:16" s="376" customFormat="1" ht="83.25" customHeight="1" hidden="1">
      <c r="A67" s="10" t="s">
        <v>413</v>
      </c>
      <c r="B67" s="10" t="s">
        <v>415</v>
      </c>
      <c r="C67" s="10" t="s">
        <v>254</v>
      </c>
      <c r="D67" s="367" t="s">
        <v>417</v>
      </c>
      <c r="E67" s="374">
        <f>F67+I67</f>
        <v>0</v>
      </c>
      <c r="F67" s="97"/>
      <c r="G67" s="97"/>
      <c r="H67" s="97"/>
      <c r="I67" s="97"/>
      <c r="J67" s="374">
        <f>L67+O67</f>
        <v>0</v>
      </c>
      <c r="K67" s="97"/>
      <c r="L67" s="97"/>
      <c r="M67" s="97"/>
      <c r="N67" s="97"/>
      <c r="O67" s="97"/>
      <c r="P67" s="97">
        <f>J67+E67</f>
        <v>0</v>
      </c>
    </row>
    <row r="68" spans="1:16" s="376" customFormat="1" ht="79.5" customHeight="1" hidden="1">
      <c r="A68" s="10" t="s">
        <v>414</v>
      </c>
      <c r="B68" s="10" t="s">
        <v>416</v>
      </c>
      <c r="C68" s="10" t="s">
        <v>254</v>
      </c>
      <c r="D68" s="367" t="s">
        <v>418</v>
      </c>
      <c r="E68" s="374">
        <f>F68+I68</f>
        <v>0</v>
      </c>
      <c r="F68" s="97"/>
      <c r="G68" s="97"/>
      <c r="H68" s="97"/>
      <c r="I68" s="97"/>
      <c r="J68" s="374">
        <f>L68+O68</f>
        <v>0</v>
      </c>
      <c r="K68" s="97"/>
      <c r="L68" s="97"/>
      <c r="M68" s="97"/>
      <c r="N68" s="97"/>
      <c r="O68" s="97"/>
      <c r="P68" s="97">
        <f>J68+E68</f>
        <v>0</v>
      </c>
    </row>
    <row r="69" spans="1:16" s="376" customFormat="1" ht="54" customHeight="1">
      <c r="A69" s="10" t="s">
        <v>268</v>
      </c>
      <c r="B69" s="10" t="s">
        <v>269</v>
      </c>
      <c r="C69" s="10" t="s">
        <v>254</v>
      </c>
      <c r="D69" s="367" t="s">
        <v>270</v>
      </c>
      <c r="E69" s="374">
        <f>F69+I69</f>
        <v>594526</v>
      </c>
      <c r="F69" s="97">
        <v>594526</v>
      </c>
      <c r="G69" s="97">
        <v>491340</v>
      </c>
      <c r="H69" s="97"/>
      <c r="I69" s="97"/>
      <c r="J69" s="374">
        <f>L69+O69</f>
        <v>0</v>
      </c>
      <c r="K69" s="97"/>
      <c r="L69" s="97"/>
      <c r="M69" s="97"/>
      <c r="N69" s="97"/>
      <c r="O69" s="97"/>
      <c r="P69" s="97">
        <f>J69+E69</f>
        <v>594526</v>
      </c>
    </row>
    <row r="70" spans="1:16" s="376" customFormat="1" ht="75" customHeight="1">
      <c r="A70" s="10" t="s">
        <v>419</v>
      </c>
      <c r="B70" s="10" t="s">
        <v>420</v>
      </c>
      <c r="C70" s="10" t="s">
        <v>254</v>
      </c>
      <c r="D70" s="367" t="s">
        <v>0</v>
      </c>
      <c r="E70" s="374">
        <f>F70+I70</f>
        <v>111826</v>
      </c>
      <c r="F70" s="97">
        <f>111826</f>
        <v>111826</v>
      </c>
      <c r="G70" s="97">
        <f>92038</f>
        <v>92038</v>
      </c>
      <c r="H70" s="97"/>
      <c r="I70" s="97"/>
      <c r="J70" s="374">
        <f>L70+O70</f>
        <v>0</v>
      </c>
      <c r="K70" s="97"/>
      <c r="L70" s="97"/>
      <c r="M70" s="97"/>
      <c r="N70" s="97"/>
      <c r="O70" s="97"/>
      <c r="P70" s="97">
        <f>J70+E70</f>
        <v>111826</v>
      </c>
    </row>
    <row r="71" spans="1:16" s="376" customFormat="1" ht="54" customHeight="1">
      <c r="A71" s="10" t="s">
        <v>288</v>
      </c>
      <c r="B71" s="10" t="s">
        <v>290</v>
      </c>
      <c r="C71" s="10" t="s">
        <v>254</v>
      </c>
      <c r="D71" s="367" t="s">
        <v>538</v>
      </c>
      <c r="E71" s="374">
        <f t="shared" si="16"/>
        <v>32218</v>
      </c>
      <c r="F71" s="97">
        <v>32218</v>
      </c>
      <c r="G71" s="97"/>
      <c r="H71" s="97"/>
      <c r="I71" s="97"/>
      <c r="J71" s="374">
        <f t="shared" si="17"/>
        <v>0</v>
      </c>
      <c r="K71" s="97"/>
      <c r="L71" s="97"/>
      <c r="M71" s="97"/>
      <c r="N71" s="97"/>
      <c r="O71" s="97"/>
      <c r="P71" s="97">
        <f t="shared" si="18"/>
        <v>32218</v>
      </c>
    </row>
    <row r="72" spans="1:16" s="376" customFormat="1" ht="65.25" customHeight="1">
      <c r="A72" s="10" t="s">
        <v>289</v>
      </c>
      <c r="B72" s="10" t="s">
        <v>291</v>
      </c>
      <c r="C72" s="10" t="s">
        <v>254</v>
      </c>
      <c r="D72" s="367" t="s">
        <v>539</v>
      </c>
      <c r="E72" s="374">
        <f>F72+I72</f>
        <v>0</v>
      </c>
      <c r="F72" s="97"/>
      <c r="G72" s="97"/>
      <c r="H72" s="97"/>
      <c r="I72" s="97"/>
      <c r="J72" s="374">
        <f>L72+O72</f>
        <v>289959</v>
      </c>
      <c r="K72" s="97"/>
      <c r="L72" s="97">
        <v>289959</v>
      </c>
      <c r="M72" s="97"/>
      <c r="N72" s="97"/>
      <c r="O72" s="97"/>
      <c r="P72" s="97">
        <f>J72+E72</f>
        <v>289959</v>
      </c>
    </row>
    <row r="73" spans="1:16" s="376" customFormat="1" ht="34.5" customHeight="1" hidden="1">
      <c r="A73" s="129"/>
      <c r="B73" s="129" t="s">
        <v>394</v>
      </c>
      <c r="C73" s="129"/>
      <c r="D73" s="131" t="s">
        <v>395</v>
      </c>
      <c r="E73" s="388">
        <f>SUM(E74)</f>
        <v>0</v>
      </c>
      <c r="F73" s="388">
        <f aca="true" t="shared" si="19" ref="F73:P73">SUM(F74)</f>
        <v>0</v>
      </c>
      <c r="G73" s="388">
        <f t="shared" si="19"/>
        <v>0</v>
      </c>
      <c r="H73" s="388">
        <f t="shared" si="19"/>
        <v>0</v>
      </c>
      <c r="I73" s="388">
        <f t="shared" si="19"/>
        <v>0</v>
      </c>
      <c r="J73" s="388">
        <f t="shared" si="19"/>
        <v>0</v>
      </c>
      <c r="K73" s="388">
        <f t="shared" si="19"/>
        <v>0</v>
      </c>
      <c r="L73" s="388">
        <f t="shared" si="19"/>
        <v>0</v>
      </c>
      <c r="M73" s="388">
        <f t="shared" si="19"/>
        <v>0</v>
      </c>
      <c r="N73" s="388">
        <f t="shared" si="19"/>
        <v>0</v>
      </c>
      <c r="O73" s="388">
        <f t="shared" si="19"/>
        <v>0</v>
      </c>
      <c r="P73" s="388">
        <f t="shared" si="19"/>
        <v>0</v>
      </c>
    </row>
    <row r="74" spans="1:16" s="376" customFormat="1" ht="55.5" customHeight="1" hidden="1">
      <c r="A74" s="10" t="s">
        <v>431</v>
      </c>
      <c r="B74" s="10" t="s">
        <v>396</v>
      </c>
      <c r="C74" s="10" t="s">
        <v>224</v>
      </c>
      <c r="D74" s="367" t="s">
        <v>397</v>
      </c>
      <c r="E74" s="374">
        <f>F74+I74</f>
        <v>0</v>
      </c>
      <c r="F74" s="97"/>
      <c r="G74" s="97"/>
      <c r="H74" s="97"/>
      <c r="I74" s="97"/>
      <c r="J74" s="374">
        <f>L74+O74</f>
        <v>0</v>
      </c>
      <c r="K74" s="97"/>
      <c r="L74" s="97"/>
      <c r="M74" s="97"/>
      <c r="N74" s="97"/>
      <c r="O74" s="97"/>
      <c r="P74" s="97">
        <f>J74+E74</f>
        <v>0</v>
      </c>
    </row>
    <row r="75" spans="1:16" s="376" customFormat="1" ht="36.75" customHeight="1">
      <c r="A75" s="384" t="s">
        <v>513</v>
      </c>
      <c r="B75" s="384"/>
      <c r="C75" s="384"/>
      <c r="D75" s="385" t="s">
        <v>514</v>
      </c>
      <c r="E75" s="386">
        <f>E76</f>
        <v>21135417</v>
      </c>
      <c r="F75" s="386">
        <f aca="true" t="shared" si="20" ref="F75:P75">F76</f>
        <v>21135417</v>
      </c>
      <c r="G75" s="386">
        <f t="shared" si="20"/>
        <v>11168750</v>
      </c>
      <c r="H75" s="386">
        <f t="shared" si="20"/>
        <v>692080</v>
      </c>
      <c r="I75" s="386">
        <f t="shared" si="20"/>
        <v>0</v>
      </c>
      <c r="J75" s="386">
        <f t="shared" si="20"/>
        <v>8391784.36</v>
      </c>
      <c r="K75" s="386">
        <f t="shared" si="20"/>
        <v>8361663.359999999</v>
      </c>
      <c r="L75" s="386">
        <f t="shared" si="20"/>
        <v>30121</v>
      </c>
      <c r="M75" s="386">
        <f t="shared" si="20"/>
        <v>0</v>
      </c>
      <c r="N75" s="386">
        <f t="shared" si="20"/>
        <v>0</v>
      </c>
      <c r="O75" s="386">
        <f t="shared" si="20"/>
        <v>8361663.359999999</v>
      </c>
      <c r="P75" s="386">
        <f t="shared" si="20"/>
        <v>29527201.36</v>
      </c>
    </row>
    <row r="76" spans="1:16" s="376" customFormat="1" ht="37.5" customHeight="1">
      <c r="A76" s="384" t="s">
        <v>515</v>
      </c>
      <c r="B76" s="384"/>
      <c r="C76" s="384"/>
      <c r="D76" s="385" t="str">
        <f>D75</f>
        <v>Управління соціального захисту населення Тетіївської міської ради</v>
      </c>
      <c r="E76" s="386">
        <f>E77+E79+E89</f>
        <v>21135417</v>
      </c>
      <c r="F76" s="386">
        <f aca="true" t="shared" si="21" ref="F76:P76">F77+F79+F89</f>
        <v>21135417</v>
      </c>
      <c r="G76" s="386">
        <f t="shared" si="21"/>
        <v>11168750</v>
      </c>
      <c r="H76" s="386">
        <f t="shared" si="21"/>
        <v>692080</v>
      </c>
      <c r="I76" s="386">
        <f t="shared" si="21"/>
        <v>0</v>
      </c>
      <c r="J76" s="386">
        <f t="shared" si="21"/>
        <v>8391784.36</v>
      </c>
      <c r="K76" s="386">
        <f t="shared" si="21"/>
        <v>8361663.359999999</v>
      </c>
      <c r="L76" s="386">
        <f t="shared" si="21"/>
        <v>30121</v>
      </c>
      <c r="M76" s="386">
        <f t="shared" si="21"/>
        <v>0</v>
      </c>
      <c r="N76" s="386">
        <f t="shared" si="21"/>
        <v>0</v>
      </c>
      <c r="O76" s="386">
        <f t="shared" si="21"/>
        <v>8361663.359999999</v>
      </c>
      <c r="P76" s="386">
        <f t="shared" si="21"/>
        <v>29527201.36</v>
      </c>
    </row>
    <row r="77" spans="1:16" s="376" customFormat="1" ht="37.5" customHeight="1">
      <c r="A77" s="95"/>
      <c r="B77" s="95" t="s">
        <v>375</v>
      </c>
      <c r="C77" s="95"/>
      <c r="D77" s="96" t="s">
        <v>376</v>
      </c>
      <c r="E77" s="387">
        <f>E78</f>
        <v>1348150</v>
      </c>
      <c r="F77" s="387">
        <f aca="true" t="shared" si="22" ref="F77:P77">F78</f>
        <v>1348150</v>
      </c>
      <c r="G77" s="387">
        <f t="shared" si="22"/>
        <v>1109850</v>
      </c>
      <c r="H77" s="387">
        <f t="shared" si="22"/>
        <v>0</v>
      </c>
      <c r="I77" s="387">
        <f t="shared" si="22"/>
        <v>0</v>
      </c>
      <c r="J77" s="387">
        <f t="shared" si="22"/>
        <v>0</v>
      </c>
      <c r="K77" s="387">
        <f t="shared" si="22"/>
        <v>0</v>
      </c>
      <c r="L77" s="387">
        <f t="shared" si="22"/>
        <v>0</v>
      </c>
      <c r="M77" s="387">
        <f t="shared" si="22"/>
        <v>0</v>
      </c>
      <c r="N77" s="387">
        <f t="shared" si="22"/>
        <v>0</v>
      </c>
      <c r="O77" s="387">
        <f t="shared" si="22"/>
        <v>0</v>
      </c>
      <c r="P77" s="387">
        <f t="shared" si="22"/>
        <v>1348150</v>
      </c>
    </row>
    <row r="78" spans="1:16" s="376" customFormat="1" ht="47.25" customHeight="1">
      <c r="A78" s="10" t="s">
        <v>516</v>
      </c>
      <c r="B78" s="10" t="s">
        <v>237</v>
      </c>
      <c r="C78" s="10" t="s">
        <v>176</v>
      </c>
      <c r="D78" s="98" t="s">
        <v>504</v>
      </c>
      <c r="E78" s="374">
        <f>F78+I78</f>
        <v>1348150</v>
      </c>
      <c r="F78" s="97">
        <f>1130600+118600+4000+34950+60000</f>
        <v>1348150</v>
      </c>
      <c r="G78" s="97">
        <f>917700+97200+34950+60000</f>
        <v>1109850</v>
      </c>
      <c r="H78" s="366"/>
      <c r="I78" s="366"/>
      <c r="J78" s="373"/>
      <c r="K78" s="366"/>
      <c r="L78" s="366"/>
      <c r="M78" s="366"/>
      <c r="N78" s="366"/>
      <c r="O78" s="366"/>
      <c r="P78" s="97">
        <f>J78+E78</f>
        <v>1348150</v>
      </c>
    </row>
    <row r="79" spans="1:16" s="377" customFormat="1" ht="35.25" customHeight="1">
      <c r="A79" s="129"/>
      <c r="B79" s="129" t="s">
        <v>383</v>
      </c>
      <c r="C79" s="129"/>
      <c r="D79" s="130" t="s">
        <v>384</v>
      </c>
      <c r="E79" s="388">
        <f>SUM(E80:E88)</f>
        <v>19787267</v>
      </c>
      <c r="F79" s="388">
        <f aca="true" t="shared" si="23" ref="F79:P79">SUM(F80:F88)</f>
        <v>19787267</v>
      </c>
      <c r="G79" s="388">
        <f t="shared" si="23"/>
        <v>10058900</v>
      </c>
      <c r="H79" s="388">
        <f t="shared" si="23"/>
        <v>692080</v>
      </c>
      <c r="I79" s="388">
        <f t="shared" si="23"/>
        <v>0</v>
      </c>
      <c r="J79" s="388">
        <f t="shared" si="23"/>
        <v>8361663.359999999</v>
      </c>
      <c r="K79" s="388">
        <f t="shared" si="23"/>
        <v>8361663.359999999</v>
      </c>
      <c r="L79" s="388">
        <f t="shared" si="23"/>
        <v>0</v>
      </c>
      <c r="M79" s="388">
        <f t="shared" si="23"/>
        <v>0</v>
      </c>
      <c r="N79" s="388">
        <f t="shared" si="23"/>
        <v>0</v>
      </c>
      <c r="O79" s="388">
        <f t="shared" si="23"/>
        <v>8361663.359999999</v>
      </c>
      <c r="P79" s="388">
        <f t="shared" si="23"/>
        <v>28148930.36</v>
      </c>
    </row>
    <row r="80" spans="1:16" s="376" customFormat="1" ht="42.75" customHeight="1">
      <c r="A80" s="10" t="s">
        <v>517</v>
      </c>
      <c r="B80" s="10" t="s">
        <v>385</v>
      </c>
      <c r="C80" s="10" t="s">
        <v>192</v>
      </c>
      <c r="D80" s="367" t="s">
        <v>386</v>
      </c>
      <c r="E80" s="374">
        <f aca="true" t="shared" si="24" ref="E80:E88">F80+I80</f>
        <v>3500</v>
      </c>
      <c r="F80" s="97">
        <v>3500</v>
      </c>
      <c r="G80" s="97"/>
      <c r="H80" s="97"/>
      <c r="I80" s="97"/>
      <c r="J80" s="374">
        <f aca="true" t="shared" si="25" ref="J80:J88">L80+O80</f>
        <v>0</v>
      </c>
      <c r="K80" s="97"/>
      <c r="L80" s="97"/>
      <c r="M80" s="97"/>
      <c r="N80" s="97"/>
      <c r="O80" s="97"/>
      <c r="P80" s="97">
        <f aca="true" t="shared" si="26" ref="P80:P88">J80+E80</f>
        <v>3500</v>
      </c>
    </row>
    <row r="81" spans="1:16" s="376" customFormat="1" ht="42.75" customHeight="1" hidden="1">
      <c r="A81" s="10" t="s">
        <v>548</v>
      </c>
      <c r="B81" s="10" t="s">
        <v>549</v>
      </c>
      <c r="C81" s="10" t="s">
        <v>550</v>
      </c>
      <c r="D81" s="367" t="s">
        <v>551</v>
      </c>
      <c r="E81" s="374">
        <f t="shared" si="24"/>
        <v>0</v>
      </c>
      <c r="F81" s="97">
        <f>300000-300000</f>
        <v>0</v>
      </c>
      <c r="G81" s="97"/>
      <c r="H81" s="97"/>
      <c r="I81" s="97"/>
      <c r="J81" s="374">
        <f t="shared" si="25"/>
        <v>0</v>
      </c>
      <c r="K81" s="97"/>
      <c r="L81" s="97"/>
      <c r="M81" s="97"/>
      <c r="N81" s="97"/>
      <c r="O81" s="97"/>
      <c r="P81" s="97">
        <f t="shared" si="26"/>
        <v>0</v>
      </c>
    </row>
    <row r="82" spans="1:16" s="376" customFormat="1" ht="56.25" customHeight="1">
      <c r="A82" s="10" t="s">
        <v>535</v>
      </c>
      <c r="B82" s="10" t="s">
        <v>536</v>
      </c>
      <c r="C82" s="10" t="s">
        <v>537</v>
      </c>
      <c r="D82" s="367" t="s">
        <v>540</v>
      </c>
      <c r="E82" s="374">
        <f t="shared" si="24"/>
        <v>10992567</v>
      </c>
      <c r="F82" s="97">
        <f>11178200+30000+85450+10000+51917-363000</f>
        <v>10992567</v>
      </c>
      <c r="G82" s="97">
        <f>8760000-373000</f>
        <v>8387000</v>
      </c>
      <c r="H82" s="97">
        <f>456000+76080+160000</f>
        <v>692080</v>
      </c>
      <c r="I82" s="97"/>
      <c r="J82" s="374">
        <f t="shared" si="25"/>
        <v>0</v>
      </c>
      <c r="K82" s="97"/>
      <c r="L82" s="97"/>
      <c r="M82" s="97"/>
      <c r="N82" s="97"/>
      <c r="O82" s="97"/>
      <c r="P82" s="97">
        <f t="shared" si="26"/>
        <v>10992567</v>
      </c>
    </row>
    <row r="83" spans="1:16" s="376" customFormat="1" ht="36" customHeight="1">
      <c r="A83" s="10" t="s">
        <v>326</v>
      </c>
      <c r="B83" s="10" t="s">
        <v>506</v>
      </c>
      <c r="C83" s="10" t="s">
        <v>194</v>
      </c>
      <c r="D83" s="367" t="s">
        <v>507</v>
      </c>
      <c r="E83" s="374">
        <f>F83+I83</f>
        <v>20000</v>
      </c>
      <c r="F83" s="97">
        <f>20000</f>
        <v>20000</v>
      </c>
      <c r="G83" s="97"/>
      <c r="H83" s="97"/>
      <c r="I83" s="97"/>
      <c r="J83" s="374">
        <f>L83+O83</f>
        <v>0</v>
      </c>
      <c r="K83" s="97"/>
      <c r="L83" s="97"/>
      <c r="M83" s="97"/>
      <c r="N83" s="97"/>
      <c r="O83" s="97"/>
      <c r="P83" s="97">
        <f>J83+E83</f>
        <v>20000</v>
      </c>
    </row>
    <row r="84" spans="1:16" s="376" customFormat="1" ht="33" customHeight="1">
      <c r="A84" s="10" t="s">
        <v>518</v>
      </c>
      <c r="B84" s="10" t="s">
        <v>193</v>
      </c>
      <c r="C84" s="10" t="s">
        <v>194</v>
      </c>
      <c r="D84" s="98" t="s">
        <v>195</v>
      </c>
      <c r="E84" s="374">
        <f t="shared" si="24"/>
        <v>2066200</v>
      </c>
      <c r="F84" s="97">
        <f>2011200+15000+20000+20000</f>
        <v>2066200</v>
      </c>
      <c r="G84" s="97">
        <v>1671900</v>
      </c>
      <c r="H84" s="97">
        <f>10000-10000</f>
        <v>0</v>
      </c>
      <c r="I84" s="97"/>
      <c r="J84" s="374">
        <f t="shared" si="25"/>
        <v>0</v>
      </c>
      <c r="K84" s="97"/>
      <c r="L84" s="97"/>
      <c r="M84" s="97"/>
      <c r="N84" s="97"/>
      <c r="O84" s="97"/>
      <c r="P84" s="97">
        <f t="shared" si="26"/>
        <v>2066200</v>
      </c>
    </row>
    <row r="85" spans="1:16" s="376" customFormat="1" ht="93" customHeight="1" hidden="1">
      <c r="A85" s="10" t="s">
        <v>387</v>
      </c>
      <c r="B85" s="10" t="s">
        <v>388</v>
      </c>
      <c r="C85" s="10" t="s">
        <v>194</v>
      </c>
      <c r="D85" s="98" t="s">
        <v>389</v>
      </c>
      <c r="E85" s="374">
        <f t="shared" si="24"/>
        <v>0</v>
      </c>
      <c r="F85" s="97"/>
      <c r="G85" s="97"/>
      <c r="H85" s="97"/>
      <c r="I85" s="97"/>
      <c r="J85" s="374">
        <f t="shared" si="25"/>
        <v>0</v>
      </c>
      <c r="K85" s="97"/>
      <c r="L85" s="97"/>
      <c r="M85" s="97"/>
      <c r="N85" s="97"/>
      <c r="O85" s="97"/>
      <c r="P85" s="97">
        <f t="shared" si="26"/>
        <v>0</v>
      </c>
    </row>
    <row r="86" spans="1:16" s="376" customFormat="1" ht="79.5" customHeight="1">
      <c r="A86" s="10" t="s">
        <v>519</v>
      </c>
      <c r="B86" s="10" t="s">
        <v>390</v>
      </c>
      <c r="C86" s="10" t="s">
        <v>239</v>
      </c>
      <c r="D86" s="98" t="s">
        <v>391</v>
      </c>
      <c r="E86" s="374">
        <f t="shared" si="24"/>
        <v>895000</v>
      </c>
      <c r="F86" s="97">
        <f>715000+180000</f>
        <v>895000</v>
      </c>
      <c r="G86" s="97"/>
      <c r="H86" s="97"/>
      <c r="I86" s="97"/>
      <c r="J86" s="374">
        <f t="shared" si="25"/>
        <v>0</v>
      </c>
      <c r="K86" s="97"/>
      <c r="L86" s="97"/>
      <c r="M86" s="97"/>
      <c r="N86" s="97"/>
      <c r="O86" s="97"/>
      <c r="P86" s="97">
        <f t="shared" si="26"/>
        <v>895000</v>
      </c>
    </row>
    <row r="87" spans="1:16" s="376" customFormat="1" ht="309.75" customHeight="1">
      <c r="A87" s="10" t="s">
        <v>463</v>
      </c>
      <c r="B87" s="10" t="s">
        <v>464</v>
      </c>
      <c r="C87" s="10" t="s">
        <v>466</v>
      </c>
      <c r="D87" s="98" t="s">
        <v>465</v>
      </c>
      <c r="E87" s="374">
        <f>F87+I87</f>
        <v>0</v>
      </c>
      <c r="F87" s="97"/>
      <c r="G87" s="97"/>
      <c r="H87" s="97"/>
      <c r="I87" s="97"/>
      <c r="J87" s="374">
        <f>L87+O87</f>
        <v>8361663.359999999</v>
      </c>
      <c r="K87" s="97">
        <f>8664845.76-303182.4</f>
        <v>8361663.359999999</v>
      </c>
      <c r="L87" s="97"/>
      <c r="M87" s="97"/>
      <c r="N87" s="97"/>
      <c r="O87" s="97">
        <f>8664845.76-303182.4</f>
        <v>8361663.359999999</v>
      </c>
      <c r="P87" s="97">
        <f>J87+E87</f>
        <v>8361663.359999999</v>
      </c>
    </row>
    <row r="88" spans="1:16" s="376" customFormat="1" ht="42.75" customHeight="1">
      <c r="A88" s="10" t="s">
        <v>520</v>
      </c>
      <c r="B88" s="10" t="s">
        <v>198</v>
      </c>
      <c r="C88" s="10" t="s">
        <v>196</v>
      </c>
      <c r="D88" s="98" t="s">
        <v>199</v>
      </c>
      <c r="E88" s="374">
        <f t="shared" si="24"/>
        <v>5810000</v>
      </c>
      <c r="F88" s="97">
        <f>370000+638000+300000+400000+140000+110000+310000+100000+12000+132000+105000+3000000+138000+55000</f>
        <v>5810000</v>
      </c>
      <c r="G88" s="97"/>
      <c r="H88" s="97"/>
      <c r="I88" s="97"/>
      <c r="J88" s="374">
        <f t="shared" si="25"/>
        <v>0</v>
      </c>
      <c r="K88" s="97"/>
      <c r="L88" s="97"/>
      <c r="M88" s="97"/>
      <c r="N88" s="97"/>
      <c r="O88" s="97"/>
      <c r="P88" s="97">
        <f t="shared" si="26"/>
        <v>5810000</v>
      </c>
    </row>
    <row r="89" spans="1:16" s="377" customFormat="1" ht="33.75" customHeight="1">
      <c r="A89" s="129"/>
      <c r="B89" s="129" t="s">
        <v>394</v>
      </c>
      <c r="C89" s="129"/>
      <c r="D89" s="131" t="s">
        <v>395</v>
      </c>
      <c r="E89" s="388">
        <f>SUM(E90)</f>
        <v>0</v>
      </c>
      <c r="F89" s="388">
        <f aca="true" t="shared" si="27" ref="F89:P89">SUM(F90)</f>
        <v>0</v>
      </c>
      <c r="G89" s="388">
        <f t="shared" si="27"/>
        <v>0</v>
      </c>
      <c r="H89" s="388">
        <f t="shared" si="27"/>
        <v>0</v>
      </c>
      <c r="I89" s="388">
        <f t="shared" si="27"/>
        <v>0</v>
      </c>
      <c r="J89" s="388">
        <f t="shared" si="27"/>
        <v>30121</v>
      </c>
      <c r="K89" s="388">
        <f t="shared" si="27"/>
        <v>0</v>
      </c>
      <c r="L89" s="388">
        <f t="shared" si="27"/>
        <v>30121</v>
      </c>
      <c r="M89" s="388">
        <f t="shared" si="27"/>
        <v>0</v>
      </c>
      <c r="N89" s="388">
        <f t="shared" si="27"/>
        <v>0</v>
      </c>
      <c r="O89" s="388">
        <f t="shared" si="27"/>
        <v>0</v>
      </c>
      <c r="P89" s="388">
        <f t="shared" si="27"/>
        <v>30121</v>
      </c>
    </row>
    <row r="90" spans="1:16" s="376" customFormat="1" ht="120" customHeight="1">
      <c r="A90" s="10" t="s">
        <v>482</v>
      </c>
      <c r="B90" s="10" t="s">
        <v>439</v>
      </c>
      <c r="C90" s="10" t="s">
        <v>224</v>
      </c>
      <c r="D90" s="367" t="s">
        <v>440</v>
      </c>
      <c r="E90" s="374">
        <f>F90+I90</f>
        <v>0</v>
      </c>
      <c r="F90" s="97"/>
      <c r="G90" s="97"/>
      <c r="H90" s="97"/>
      <c r="I90" s="97"/>
      <c r="J90" s="374">
        <f>L90+O90</f>
        <v>30121</v>
      </c>
      <c r="K90" s="97"/>
      <c r="L90" s="97">
        <v>30121</v>
      </c>
      <c r="M90" s="97"/>
      <c r="N90" s="97"/>
      <c r="O90" s="97"/>
      <c r="P90" s="97">
        <f>J90+E90</f>
        <v>30121</v>
      </c>
    </row>
    <row r="91" spans="1:16" s="376" customFormat="1" ht="36.75" customHeight="1">
      <c r="A91" s="384" t="s">
        <v>274</v>
      </c>
      <c r="B91" s="384"/>
      <c r="C91" s="384"/>
      <c r="D91" s="385" t="s">
        <v>423</v>
      </c>
      <c r="E91" s="386">
        <f>E92</f>
        <v>23038257.11</v>
      </c>
      <c r="F91" s="386">
        <f aca="true" t="shared" si="28" ref="F91:P91">F92</f>
        <v>23038257.11</v>
      </c>
      <c r="G91" s="386">
        <f t="shared" si="28"/>
        <v>16186140</v>
      </c>
      <c r="H91" s="386">
        <f t="shared" si="28"/>
        <v>2254650</v>
      </c>
      <c r="I91" s="386">
        <f t="shared" si="28"/>
        <v>0</v>
      </c>
      <c r="J91" s="386">
        <f t="shared" si="28"/>
        <v>319400</v>
      </c>
      <c r="K91" s="386">
        <f t="shared" si="28"/>
        <v>111000</v>
      </c>
      <c r="L91" s="386">
        <f t="shared" si="28"/>
        <v>208400</v>
      </c>
      <c r="M91" s="386">
        <f t="shared" si="28"/>
        <v>134800</v>
      </c>
      <c r="N91" s="386">
        <f t="shared" si="28"/>
        <v>0</v>
      </c>
      <c r="O91" s="386">
        <f t="shared" si="28"/>
        <v>111000</v>
      </c>
      <c r="P91" s="386">
        <f t="shared" si="28"/>
        <v>23357657.11</v>
      </c>
    </row>
    <row r="92" spans="1:16" s="376" customFormat="1" ht="37.5" customHeight="1">
      <c r="A92" s="384" t="s">
        <v>275</v>
      </c>
      <c r="B92" s="384"/>
      <c r="C92" s="384"/>
      <c r="D92" s="385" t="str">
        <f>D91</f>
        <v>Відділ культури, молоді та спорту Тетіївської міської ради</v>
      </c>
      <c r="E92" s="386">
        <f>E93+E95+E97+E99+E105</f>
        <v>23038257.11</v>
      </c>
      <c r="F92" s="386">
        <f aca="true" t="shared" si="29" ref="F92:P92">F93+F95+F97+F99+F105</f>
        <v>23038257.11</v>
      </c>
      <c r="G92" s="386">
        <f t="shared" si="29"/>
        <v>16186140</v>
      </c>
      <c r="H92" s="386">
        <f t="shared" si="29"/>
        <v>2254650</v>
      </c>
      <c r="I92" s="386">
        <f t="shared" si="29"/>
        <v>0</v>
      </c>
      <c r="J92" s="386">
        <f t="shared" si="29"/>
        <v>319400</v>
      </c>
      <c r="K92" s="386">
        <f t="shared" si="29"/>
        <v>111000</v>
      </c>
      <c r="L92" s="386">
        <f t="shared" si="29"/>
        <v>208400</v>
      </c>
      <c r="M92" s="386">
        <f t="shared" si="29"/>
        <v>134800</v>
      </c>
      <c r="N92" s="386">
        <f t="shared" si="29"/>
        <v>0</v>
      </c>
      <c r="O92" s="386">
        <f t="shared" si="29"/>
        <v>111000</v>
      </c>
      <c r="P92" s="386">
        <f t="shared" si="29"/>
        <v>23357657.11</v>
      </c>
    </row>
    <row r="93" spans="1:16" s="376" customFormat="1" ht="37.5" customHeight="1">
      <c r="A93" s="95"/>
      <c r="B93" s="95" t="s">
        <v>375</v>
      </c>
      <c r="C93" s="95"/>
      <c r="D93" s="96" t="s">
        <v>376</v>
      </c>
      <c r="E93" s="387">
        <f>E94</f>
        <v>490822</v>
      </c>
      <c r="F93" s="387">
        <f aca="true" t="shared" si="30" ref="F93:P93">F94</f>
        <v>490822</v>
      </c>
      <c r="G93" s="387">
        <f t="shared" si="30"/>
        <v>397805</v>
      </c>
      <c r="H93" s="387">
        <f t="shared" si="30"/>
        <v>0</v>
      </c>
      <c r="I93" s="387">
        <f t="shared" si="30"/>
        <v>0</v>
      </c>
      <c r="J93" s="387">
        <f t="shared" si="30"/>
        <v>0</v>
      </c>
      <c r="K93" s="387">
        <f t="shared" si="30"/>
        <v>0</v>
      </c>
      <c r="L93" s="387">
        <f t="shared" si="30"/>
        <v>0</v>
      </c>
      <c r="M93" s="387">
        <f t="shared" si="30"/>
        <v>0</v>
      </c>
      <c r="N93" s="387">
        <f t="shared" si="30"/>
        <v>0</v>
      </c>
      <c r="O93" s="387">
        <f t="shared" si="30"/>
        <v>0</v>
      </c>
      <c r="P93" s="387">
        <f t="shared" si="30"/>
        <v>490822</v>
      </c>
    </row>
    <row r="94" spans="1:16" s="376" customFormat="1" ht="47.25" customHeight="1">
      <c r="A94" s="10" t="s">
        <v>276</v>
      </c>
      <c r="B94" s="10" t="s">
        <v>237</v>
      </c>
      <c r="C94" s="10" t="s">
        <v>176</v>
      </c>
      <c r="D94" s="98" t="s">
        <v>504</v>
      </c>
      <c r="E94" s="374">
        <f>F94+I94</f>
        <v>490822</v>
      </c>
      <c r="F94" s="97">
        <f>460300+4100+9955+16467</f>
        <v>490822</v>
      </c>
      <c r="G94" s="97">
        <f>377300+8155+12350</f>
        <v>397805</v>
      </c>
      <c r="H94" s="366"/>
      <c r="I94" s="366"/>
      <c r="J94" s="373"/>
      <c r="K94" s="366"/>
      <c r="L94" s="366"/>
      <c r="M94" s="366"/>
      <c r="N94" s="366"/>
      <c r="O94" s="366"/>
      <c r="P94" s="97">
        <f>J94+E94</f>
        <v>490822</v>
      </c>
    </row>
    <row r="95" spans="1:16" s="376" customFormat="1" ht="34.5" customHeight="1">
      <c r="A95" s="129"/>
      <c r="B95" s="129" t="s">
        <v>411</v>
      </c>
      <c r="C95" s="129"/>
      <c r="D95" s="130" t="s">
        <v>412</v>
      </c>
      <c r="E95" s="388">
        <f>SUM(E96)</f>
        <v>4101310</v>
      </c>
      <c r="F95" s="388">
        <f aca="true" t="shared" si="31" ref="F95:P95">SUM(F96)</f>
        <v>4101310</v>
      </c>
      <c r="G95" s="388">
        <f t="shared" si="31"/>
        <v>3071710</v>
      </c>
      <c r="H95" s="388">
        <f t="shared" si="31"/>
        <v>371500</v>
      </c>
      <c r="I95" s="388">
        <f t="shared" si="31"/>
        <v>0</v>
      </c>
      <c r="J95" s="388">
        <f t="shared" si="31"/>
        <v>190400</v>
      </c>
      <c r="K95" s="388">
        <f t="shared" si="31"/>
        <v>0</v>
      </c>
      <c r="L95" s="388">
        <f t="shared" si="31"/>
        <v>190400</v>
      </c>
      <c r="M95" s="388">
        <f t="shared" si="31"/>
        <v>134800</v>
      </c>
      <c r="N95" s="388">
        <f t="shared" si="31"/>
        <v>0</v>
      </c>
      <c r="O95" s="388">
        <f t="shared" si="31"/>
        <v>0</v>
      </c>
      <c r="P95" s="388">
        <f t="shared" si="31"/>
        <v>4291710</v>
      </c>
    </row>
    <row r="96" spans="1:16" s="376" customFormat="1" ht="36" customHeight="1">
      <c r="A96" s="10" t="s">
        <v>277</v>
      </c>
      <c r="B96" s="10" t="s">
        <v>278</v>
      </c>
      <c r="C96" s="10" t="s">
        <v>250</v>
      </c>
      <c r="D96" s="98" t="s">
        <v>471</v>
      </c>
      <c r="E96" s="374">
        <f>F96+I96</f>
        <v>4101310</v>
      </c>
      <c r="F96" s="97">
        <f>4059000+22110+20200</f>
        <v>4101310</v>
      </c>
      <c r="G96" s="97">
        <f>3020100+18110+33500</f>
        <v>3071710</v>
      </c>
      <c r="H96" s="97">
        <v>371500</v>
      </c>
      <c r="I96" s="97"/>
      <c r="J96" s="374">
        <f>L96+O96</f>
        <v>190400</v>
      </c>
      <c r="K96" s="97"/>
      <c r="L96" s="97">
        <v>190400</v>
      </c>
      <c r="M96" s="97">
        <v>134800</v>
      </c>
      <c r="N96" s="97"/>
      <c r="O96" s="97"/>
      <c r="P96" s="97">
        <f>J96+E96</f>
        <v>4291710</v>
      </c>
    </row>
    <row r="97" spans="1:16" s="376" customFormat="1" ht="36" customHeight="1">
      <c r="A97" s="129"/>
      <c r="B97" s="129" t="s">
        <v>424</v>
      </c>
      <c r="C97" s="129"/>
      <c r="D97" s="130" t="s">
        <v>384</v>
      </c>
      <c r="E97" s="388">
        <f>SUM(E98)</f>
        <v>3150</v>
      </c>
      <c r="F97" s="388">
        <f aca="true" t="shared" si="32" ref="F97:P97">SUM(F98)</f>
        <v>3150</v>
      </c>
      <c r="G97" s="388">
        <f t="shared" si="32"/>
        <v>0</v>
      </c>
      <c r="H97" s="388">
        <f t="shared" si="32"/>
        <v>0</v>
      </c>
      <c r="I97" s="388">
        <f t="shared" si="32"/>
        <v>0</v>
      </c>
      <c r="J97" s="388">
        <f t="shared" si="32"/>
        <v>0</v>
      </c>
      <c r="K97" s="388">
        <f t="shared" si="32"/>
        <v>0</v>
      </c>
      <c r="L97" s="388">
        <f t="shared" si="32"/>
        <v>0</v>
      </c>
      <c r="M97" s="388">
        <f t="shared" si="32"/>
        <v>0</v>
      </c>
      <c r="N97" s="388">
        <f t="shared" si="32"/>
        <v>0</v>
      </c>
      <c r="O97" s="388">
        <f t="shared" si="32"/>
        <v>0</v>
      </c>
      <c r="P97" s="388">
        <f t="shared" si="32"/>
        <v>3150</v>
      </c>
    </row>
    <row r="98" spans="1:16" s="376" customFormat="1" ht="52.5" customHeight="1">
      <c r="A98" s="10" t="s">
        <v>279</v>
      </c>
      <c r="B98" s="10" t="s">
        <v>280</v>
      </c>
      <c r="C98" s="10" t="s">
        <v>194</v>
      </c>
      <c r="D98" s="98" t="s">
        <v>281</v>
      </c>
      <c r="E98" s="374">
        <f>F98+I98</f>
        <v>3150</v>
      </c>
      <c r="F98" s="97">
        <f>12000-8850</f>
        <v>3150</v>
      </c>
      <c r="G98" s="97"/>
      <c r="H98" s="97"/>
      <c r="I98" s="97"/>
      <c r="J98" s="374">
        <f aca="true" t="shared" si="33" ref="J98:J111">L98+O98</f>
        <v>0</v>
      </c>
      <c r="K98" s="97"/>
      <c r="L98" s="97"/>
      <c r="M98" s="97"/>
      <c r="N98" s="97"/>
      <c r="O98" s="97"/>
      <c r="P98" s="97">
        <f aca="true" t="shared" si="34" ref="P98:P111">J98+E98</f>
        <v>3150</v>
      </c>
    </row>
    <row r="99" spans="1:16" s="376" customFormat="1" ht="36" customHeight="1">
      <c r="A99" s="129"/>
      <c r="B99" s="129" t="s">
        <v>425</v>
      </c>
      <c r="C99" s="129"/>
      <c r="D99" s="130" t="s">
        <v>426</v>
      </c>
      <c r="E99" s="388">
        <f>SUM(E100:E104)</f>
        <v>15602442</v>
      </c>
      <c r="F99" s="388">
        <f aca="true" t="shared" si="35" ref="F99:P99">SUM(F100:F104)</f>
        <v>15602442</v>
      </c>
      <c r="G99" s="388">
        <f t="shared" si="35"/>
        <v>10688285</v>
      </c>
      <c r="H99" s="388">
        <f t="shared" si="35"/>
        <v>1819550</v>
      </c>
      <c r="I99" s="388">
        <f t="shared" si="35"/>
        <v>0</v>
      </c>
      <c r="J99" s="388">
        <f t="shared" si="35"/>
        <v>73000</v>
      </c>
      <c r="K99" s="388">
        <f t="shared" si="35"/>
        <v>55000</v>
      </c>
      <c r="L99" s="388">
        <f t="shared" si="35"/>
        <v>18000</v>
      </c>
      <c r="M99" s="388">
        <f t="shared" si="35"/>
        <v>0</v>
      </c>
      <c r="N99" s="388">
        <f t="shared" si="35"/>
        <v>0</v>
      </c>
      <c r="O99" s="388">
        <f t="shared" si="35"/>
        <v>55000</v>
      </c>
      <c r="P99" s="388">
        <f t="shared" si="35"/>
        <v>15675442</v>
      </c>
    </row>
    <row r="100" spans="1:16" s="376" customFormat="1" ht="32.25" customHeight="1">
      <c r="A100" s="10" t="s">
        <v>282</v>
      </c>
      <c r="B100" s="10" t="s">
        <v>283</v>
      </c>
      <c r="C100" s="10" t="s">
        <v>284</v>
      </c>
      <c r="D100" s="98" t="s">
        <v>285</v>
      </c>
      <c r="E100" s="374">
        <f>F100+I100</f>
        <v>4944274</v>
      </c>
      <c r="F100" s="97">
        <f>4755900+4664+249010-65300</f>
        <v>4944274</v>
      </c>
      <c r="G100" s="97">
        <f>3485000+199210-65000</f>
        <v>3619210</v>
      </c>
      <c r="H100" s="97">
        <v>380700</v>
      </c>
      <c r="I100" s="97"/>
      <c r="J100" s="374">
        <f t="shared" si="33"/>
        <v>0</v>
      </c>
      <c r="K100" s="97"/>
      <c r="L100" s="97"/>
      <c r="M100" s="97"/>
      <c r="N100" s="97"/>
      <c r="O100" s="97"/>
      <c r="P100" s="97">
        <f t="shared" si="34"/>
        <v>4944274</v>
      </c>
    </row>
    <row r="101" spans="1:16" s="376" customFormat="1" ht="32.25" customHeight="1">
      <c r="A101" s="10" t="s">
        <v>286</v>
      </c>
      <c r="B101" s="10" t="s">
        <v>287</v>
      </c>
      <c r="C101" s="10" t="s">
        <v>284</v>
      </c>
      <c r="D101" s="98" t="s">
        <v>292</v>
      </c>
      <c r="E101" s="374">
        <f aca="true" t="shared" si="36" ref="E101:E111">F101+I101</f>
        <v>441500</v>
      </c>
      <c r="F101" s="97">
        <f>430300+11200</f>
        <v>441500</v>
      </c>
      <c r="G101" s="97">
        <v>245000</v>
      </c>
      <c r="H101" s="97">
        <v>128400</v>
      </c>
      <c r="I101" s="97"/>
      <c r="J101" s="374">
        <f t="shared" si="33"/>
        <v>0</v>
      </c>
      <c r="K101" s="97"/>
      <c r="L101" s="97"/>
      <c r="M101" s="97"/>
      <c r="N101" s="97"/>
      <c r="O101" s="97"/>
      <c r="P101" s="97">
        <f t="shared" si="34"/>
        <v>441500</v>
      </c>
    </row>
    <row r="102" spans="1:16" s="376" customFormat="1" ht="41.25" customHeight="1">
      <c r="A102" s="10" t="s">
        <v>293</v>
      </c>
      <c r="B102" s="10" t="s">
        <v>294</v>
      </c>
      <c r="C102" s="10" t="s">
        <v>295</v>
      </c>
      <c r="D102" s="98" t="s">
        <v>296</v>
      </c>
      <c r="E102" s="374">
        <f t="shared" si="36"/>
        <v>9051983</v>
      </c>
      <c r="F102" s="97">
        <f>8538600+57600+501700+22000-67917</f>
        <v>9051983</v>
      </c>
      <c r="G102" s="97">
        <f>5654000+322200</f>
        <v>5976200</v>
      </c>
      <c r="H102" s="97">
        <f>1330100-19650</f>
        <v>1310450</v>
      </c>
      <c r="I102" s="97"/>
      <c r="J102" s="374">
        <f t="shared" si="33"/>
        <v>73000</v>
      </c>
      <c r="K102" s="97">
        <f>30000+25000</f>
        <v>55000</v>
      </c>
      <c r="L102" s="97">
        <v>18000</v>
      </c>
      <c r="M102" s="97"/>
      <c r="N102" s="97"/>
      <c r="O102" s="97">
        <f>30000+25000</f>
        <v>55000</v>
      </c>
      <c r="P102" s="97">
        <f t="shared" si="34"/>
        <v>9124983</v>
      </c>
    </row>
    <row r="103" spans="1:16" s="376" customFormat="1" ht="37.5" customHeight="1">
      <c r="A103" s="10" t="s">
        <v>297</v>
      </c>
      <c r="B103" s="10" t="s">
        <v>298</v>
      </c>
      <c r="C103" s="10" t="s">
        <v>299</v>
      </c>
      <c r="D103" s="98" t="s">
        <v>300</v>
      </c>
      <c r="E103" s="374">
        <f t="shared" si="36"/>
        <v>1072270</v>
      </c>
      <c r="F103" s="97">
        <f>1005800+5900+12830+9540+38200</f>
        <v>1072270</v>
      </c>
      <c r="G103" s="97">
        <f>797800+4800+10530+4745+30000</f>
        <v>847875</v>
      </c>
      <c r="H103" s="97"/>
      <c r="I103" s="97"/>
      <c r="J103" s="374">
        <f t="shared" si="33"/>
        <v>0</v>
      </c>
      <c r="K103" s="97"/>
      <c r="L103" s="97"/>
      <c r="M103" s="97"/>
      <c r="N103" s="97"/>
      <c r="O103" s="97"/>
      <c r="P103" s="97">
        <f t="shared" si="34"/>
        <v>1072270</v>
      </c>
    </row>
    <row r="104" spans="1:16" s="376" customFormat="1" ht="32.25" customHeight="1">
      <c r="A104" s="10" t="s">
        <v>301</v>
      </c>
      <c r="B104" s="10" t="s">
        <v>302</v>
      </c>
      <c r="C104" s="10" t="s">
        <v>299</v>
      </c>
      <c r="D104" s="98" t="s">
        <v>303</v>
      </c>
      <c r="E104" s="374">
        <f t="shared" si="36"/>
        <v>92415</v>
      </c>
      <c r="F104" s="97">
        <f>69000+23415</f>
        <v>92415</v>
      </c>
      <c r="G104" s="97"/>
      <c r="H104" s="97"/>
      <c r="I104" s="97"/>
      <c r="J104" s="374">
        <f t="shared" si="33"/>
        <v>0</v>
      </c>
      <c r="K104" s="97"/>
      <c r="L104" s="97"/>
      <c r="M104" s="97"/>
      <c r="N104" s="97"/>
      <c r="O104" s="97"/>
      <c r="P104" s="97">
        <f t="shared" si="34"/>
        <v>92415</v>
      </c>
    </row>
    <row r="105" spans="1:16" s="376" customFormat="1" ht="36" customHeight="1">
      <c r="A105" s="129"/>
      <c r="B105" s="129" t="s">
        <v>421</v>
      </c>
      <c r="C105" s="129"/>
      <c r="D105" s="130" t="s">
        <v>422</v>
      </c>
      <c r="E105" s="388">
        <f aca="true" t="shared" si="37" ref="E105:P105">SUM(E106:E111)</f>
        <v>2840533.11</v>
      </c>
      <c r="F105" s="388">
        <f t="shared" si="37"/>
        <v>2840533.11</v>
      </c>
      <c r="G105" s="388">
        <f t="shared" si="37"/>
        <v>2028340</v>
      </c>
      <c r="H105" s="388">
        <f t="shared" si="37"/>
        <v>63600</v>
      </c>
      <c r="I105" s="388">
        <f t="shared" si="37"/>
        <v>0</v>
      </c>
      <c r="J105" s="388">
        <f t="shared" si="37"/>
        <v>56000</v>
      </c>
      <c r="K105" s="388">
        <f t="shared" si="37"/>
        <v>56000</v>
      </c>
      <c r="L105" s="388">
        <f t="shared" si="37"/>
        <v>0</v>
      </c>
      <c r="M105" s="388">
        <f t="shared" si="37"/>
        <v>0</v>
      </c>
      <c r="N105" s="388">
        <f t="shared" si="37"/>
        <v>0</v>
      </c>
      <c r="O105" s="388">
        <f t="shared" si="37"/>
        <v>56000</v>
      </c>
      <c r="P105" s="388">
        <f t="shared" si="37"/>
        <v>2896533.11</v>
      </c>
    </row>
    <row r="106" spans="1:16" s="376" customFormat="1" ht="41.25" customHeight="1">
      <c r="A106" s="10" t="s">
        <v>304</v>
      </c>
      <c r="B106" s="10" t="s">
        <v>305</v>
      </c>
      <c r="C106" s="10" t="s">
        <v>272</v>
      </c>
      <c r="D106" s="98" t="s">
        <v>306</v>
      </c>
      <c r="E106" s="374">
        <f t="shared" si="36"/>
        <v>10000</v>
      </c>
      <c r="F106" s="97">
        <f>15000+10000-15000</f>
        <v>10000</v>
      </c>
      <c r="G106" s="97"/>
      <c r="H106" s="97"/>
      <c r="I106" s="97"/>
      <c r="J106" s="374">
        <f t="shared" si="33"/>
        <v>0</v>
      </c>
      <c r="K106" s="97"/>
      <c r="L106" s="97"/>
      <c r="M106" s="97"/>
      <c r="N106" s="97"/>
      <c r="O106" s="97"/>
      <c r="P106" s="97">
        <f t="shared" si="34"/>
        <v>10000</v>
      </c>
    </row>
    <row r="107" spans="1:16" s="376" customFormat="1" ht="41.25" customHeight="1" hidden="1">
      <c r="A107" s="10" t="s">
        <v>307</v>
      </c>
      <c r="B107" s="10" t="s">
        <v>308</v>
      </c>
      <c r="C107" s="10" t="s">
        <v>272</v>
      </c>
      <c r="D107" s="98" t="s">
        <v>309</v>
      </c>
      <c r="E107" s="374">
        <f t="shared" si="36"/>
        <v>0</v>
      </c>
      <c r="F107" s="97">
        <f>1000-1000</f>
        <v>0</v>
      </c>
      <c r="G107" s="97"/>
      <c r="H107" s="97"/>
      <c r="I107" s="97"/>
      <c r="J107" s="374">
        <f t="shared" si="33"/>
        <v>0</v>
      </c>
      <c r="K107" s="97"/>
      <c r="L107" s="97"/>
      <c r="M107" s="97"/>
      <c r="N107" s="97"/>
      <c r="O107" s="97"/>
      <c r="P107" s="97">
        <f t="shared" si="34"/>
        <v>0</v>
      </c>
    </row>
    <row r="108" spans="1:16" s="376" customFormat="1" ht="34.5" customHeight="1">
      <c r="A108" s="10" t="s">
        <v>524</v>
      </c>
      <c r="B108" s="10" t="s">
        <v>271</v>
      </c>
      <c r="C108" s="10" t="s">
        <v>272</v>
      </c>
      <c r="D108" s="98" t="s">
        <v>273</v>
      </c>
      <c r="E108" s="374">
        <f t="shared" si="36"/>
        <v>1533660</v>
      </c>
      <c r="F108" s="97">
        <f>1502600+50000+168860-56000-131800</f>
        <v>1533660</v>
      </c>
      <c r="G108" s="97">
        <f>1108700+138410-95000</f>
        <v>1152110</v>
      </c>
      <c r="H108" s="97"/>
      <c r="I108" s="97"/>
      <c r="J108" s="374">
        <f t="shared" si="33"/>
        <v>56000</v>
      </c>
      <c r="K108" s="97">
        <f>56000</f>
        <v>56000</v>
      </c>
      <c r="L108" s="97"/>
      <c r="M108" s="97"/>
      <c r="N108" s="97"/>
      <c r="O108" s="97">
        <f>56000</f>
        <v>56000</v>
      </c>
      <c r="P108" s="97">
        <f t="shared" si="34"/>
        <v>1589660</v>
      </c>
    </row>
    <row r="109" spans="1:16" s="376" customFormat="1" ht="35.25" customHeight="1">
      <c r="A109" s="10" t="s">
        <v>310</v>
      </c>
      <c r="B109" s="10" t="s">
        <v>311</v>
      </c>
      <c r="C109" s="10" t="s">
        <v>272</v>
      </c>
      <c r="D109" s="98" t="s">
        <v>312</v>
      </c>
      <c r="E109" s="374">
        <f>F109+I109</f>
        <v>737731</v>
      </c>
      <c r="F109" s="97">
        <f>622900+41991+50000+21440+1400</f>
        <v>737731</v>
      </c>
      <c r="G109" s="97">
        <f>479100+33220+18940</f>
        <v>531260</v>
      </c>
      <c r="H109" s="97">
        <v>63600</v>
      </c>
      <c r="I109" s="97"/>
      <c r="J109" s="374">
        <f>L109+O109</f>
        <v>0</v>
      </c>
      <c r="K109" s="97"/>
      <c r="L109" s="97"/>
      <c r="M109" s="97"/>
      <c r="N109" s="97"/>
      <c r="O109" s="97"/>
      <c r="P109" s="97">
        <f>J109+E109</f>
        <v>737731</v>
      </c>
    </row>
    <row r="110" spans="1:16" s="376" customFormat="1" ht="45" customHeight="1">
      <c r="A110" s="10" t="s">
        <v>149</v>
      </c>
      <c r="B110" s="10" t="s">
        <v>150</v>
      </c>
      <c r="C110" s="10" t="s">
        <v>272</v>
      </c>
      <c r="D110" s="98" t="s">
        <v>151</v>
      </c>
      <c r="E110" s="374">
        <f>F110+I110</f>
        <v>58862.110000000015</v>
      </c>
      <c r="F110" s="97">
        <f>88279.71-19617.6-9800</f>
        <v>58862.110000000015</v>
      </c>
      <c r="G110" s="97">
        <f>72360-16080-8040</f>
        <v>48240</v>
      </c>
      <c r="H110" s="97"/>
      <c r="I110" s="97"/>
      <c r="J110" s="374">
        <f>L110+O110</f>
        <v>0</v>
      </c>
      <c r="K110" s="97"/>
      <c r="L110" s="97"/>
      <c r="M110" s="97"/>
      <c r="N110" s="97"/>
      <c r="O110" s="97"/>
      <c r="P110" s="97">
        <f>J110+E110</f>
        <v>58862.110000000015</v>
      </c>
    </row>
    <row r="111" spans="1:16" s="376" customFormat="1" ht="64.5" customHeight="1">
      <c r="A111" s="10" t="s">
        <v>446</v>
      </c>
      <c r="B111" s="10" t="s">
        <v>447</v>
      </c>
      <c r="C111" s="10" t="s">
        <v>272</v>
      </c>
      <c r="D111" s="98" t="s">
        <v>448</v>
      </c>
      <c r="E111" s="374">
        <f t="shared" si="36"/>
        <v>500280</v>
      </c>
      <c r="F111" s="97">
        <f>418400-50000+41770+50000+12850+25860+1400</f>
        <v>500280</v>
      </c>
      <c r="G111" s="97">
        <f>252000+34200+10530</f>
        <v>296730</v>
      </c>
      <c r="H111" s="97"/>
      <c r="I111" s="97"/>
      <c r="J111" s="374">
        <f t="shared" si="33"/>
        <v>0</v>
      </c>
      <c r="K111" s="97"/>
      <c r="L111" s="97"/>
      <c r="M111" s="97"/>
      <c r="N111" s="97"/>
      <c r="O111" s="97"/>
      <c r="P111" s="97">
        <f t="shared" si="34"/>
        <v>500280</v>
      </c>
    </row>
    <row r="112" spans="1:16" s="378" customFormat="1" ht="35.25" customHeight="1">
      <c r="A112" s="384" t="s">
        <v>313</v>
      </c>
      <c r="B112" s="384"/>
      <c r="C112" s="384"/>
      <c r="D112" s="385" t="s">
        <v>427</v>
      </c>
      <c r="E112" s="386">
        <f>E113</f>
        <v>4915725</v>
      </c>
      <c r="F112" s="386">
        <f aca="true" t="shared" si="38" ref="F112:P112">F113</f>
        <v>2280137</v>
      </c>
      <c r="G112" s="386">
        <f t="shared" si="38"/>
        <v>1834000</v>
      </c>
      <c r="H112" s="386">
        <f t="shared" si="38"/>
        <v>0</v>
      </c>
      <c r="I112" s="386">
        <f t="shared" si="38"/>
        <v>900000</v>
      </c>
      <c r="J112" s="386">
        <f t="shared" si="38"/>
        <v>86063</v>
      </c>
      <c r="K112" s="386">
        <f t="shared" si="38"/>
        <v>86063</v>
      </c>
      <c r="L112" s="386">
        <f t="shared" si="38"/>
        <v>0</v>
      </c>
      <c r="M112" s="386">
        <f t="shared" si="38"/>
        <v>0</v>
      </c>
      <c r="N112" s="386">
        <f t="shared" si="38"/>
        <v>0</v>
      </c>
      <c r="O112" s="386">
        <f t="shared" si="38"/>
        <v>86063</v>
      </c>
      <c r="P112" s="386">
        <f t="shared" si="38"/>
        <v>5001788</v>
      </c>
    </row>
    <row r="113" spans="1:16" s="378" customFormat="1" ht="35.25" customHeight="1">
      <c r="A113" s="384" t="s">
        <v>314</v>
      </c>
      <c r="B113" s="384"/>
      <c r="C113" s="384"/>
      <c r="D113" s="385" t="str">
        <f>D112</f>
        <v>Управління фінансів Тетіївської міської ради</v>
      </c>
      <c r="E113" s="386">
        <f>E114+E116+E118</f>
        <v>4915725</v>
      </c>
      <c r="F113" s="386">
        <f aca="true" t="shared" si="39" ref="F113:P113">F114+F116+F118</f>
        <v>2280137</v>
      </c>
      <c r="G113" s="386">
        <f t="shared" si="39"/>
        <v>1834000</v>
      </c>
      <c r="H113" s="386">
        <f t="shared" si="39"/>
        <v>0</v>
      </c>
      <c r="I113" s="386">
        <f t="shared" si="39"/>
        <v>900000</v>
      </c>
      <c r="J113" s="386">
        <f t="shared" si="39"/>
        <v>86063</v>
      </c>
      <c r="K113" s="386">
        <f t="shared" si="39"/>
        <v>86063</v>
      </c>
      <c r="L113" s="386">
        <f t="shared" si="39"/>
        <v>0</v>
      </c>
      <c r="M113" s="386">
        <f t="shared" si="39"/>
        <v>0</v>
      </c>
      <c r="N113" s="386">
        <f t="shared" si="39"/>
        <v>0</v>
      </c>
      <c r="O113" s="386">
        <f t="shared" si="39"/>
        <v>86063</v>
      </c>
      <c r="P113" s="386">
        <f t="shared" si="39"/>
        <v>5001788</v>
      </c>
    </row>
    <row r="114" spans="1:16" s="378" customFormat="1" ht="35.25" customHeight="1">
      <c r="A114" s="95"/>
      <c r="B114" s="95" t="s">
        <v>375</v>
      </c>
      <c r="C114" s="95"/>
      <c r="D114" s="96" t="s">
        <v>376</v>
      </c>
      <c r="E114" s="387">
        <f>SUM(E115)</f>
        <v>2230137</v>
      </c>
      <c r="F114" s="387">
        <f aca="true" t="shared" si="40" ref="F114:P114">SUM(F115)</f>
        <v>2230137</v>
      </c>
      <c r="G114" s="387">
        <f t="shared" si="40"/>
        <v>1834000</v>
      </c>
      <c r="H114" s="387">
        <f t="shared" si="40"/>
        <v>0</v>
      </c>
      <c r="I114" s="387">
        <f t="shared" si="40"/>
        <v>0</v>
      </c>
      <c r="J114" s="387">
        <f t="shared" si="40"/>
        <v>86063</v>
      </c>
      <c r="K114" s="387">
        <f t="shared" si="40"/>
        <v>86063</v>
      </c>
      <c r="L114" s="387">
        <f t="shared" si="40"/>
        <v>0</v>
      </c>
      <c r="M114" s="387">
        <f t="shared" si="40"/>
        <v>0</v>
      </c>
      <c r="N114" s="387">
        <f t="shared" si="40"/>
        <v>0</v>
      </c>
      <c r="O114" s="387">
        <f t="shared" si="40"/>
        <v>86063</v>
      </c>
      <c r="P114" s="387">
        <f t="shared" si="40"/>
        <v>2316200</v>
      </c>
    </row>
    <row r="115" spans="1:16" s="376" customFormat="1" ht="48" customHeight="1">
      <c r="A115" s="10" t="s">
        <v>315</v>
      </c>
      <c r="B115" s="10" t="s">
        <v>237</v>
      </c>
      <c r="C115" s="10" t="s">
        <v>176</v>
      </c>
      <c r="D115" s="98" t="s">
        <v>504</v>
      </c>
      <c r="E115" s="374">
        <f>F115+I115</f>
        <v>2230137</v>
      </c>
      <c r="F115" s="97">
        <f>2130200+15000+84937</f>
        <v>2230137</v>
      </c>
      <c r="G115" s="97">
        <f>1755000+79000</f>
        <v>1834000</v>
      </c>
      <c r="H115" s="97"/>
      <c r="I115" s="97"/>
      <c r="J115" s="374">
        <f>L115+O115</f>
        <v>86063</v>
      </c>
      <c r="K115" s="97">
        <f>75762+16238-5937</f>
        <v>86063</v>
      </c>
      <c r="L115" s="97"/>
      <c r="M115" s="97"/>
      <c r="N115" s="97"/>
      <c r="O115" s="97">
        <f>75762+16238-5937</f>
        <v>86063</v>
      </c>
      <c r="P115" s="97">
        <f>J115+E115</f>
        <v>2316200</v>
      </c>
    </row>
    <row r="116" spans="1:16" s="376" customFormat="1" ht="39.75" customHeight="1">
      <c r="A116" s="129"/>
      <c r="B116" s="129" t="s">
        <v>407</v>
      </c>
      <c r="C116" s="129"/>
      <c r="D116" s="130" t="s">
        <v>408</v>
      </c>
      <c r="E116" s="388">
        <f>SUM(E117)</f>
        <v>1735588</v>
      </c>
      <c r="F116" s="388">
        <f aca="true" t="shared" si="41" ref="F116:P116">SUM(F117)</f>
        <v>0</v>
      </c>
      <c r="G116" s="388">
        <f t="shared" si="41"/>
        <v>0</v>
      </c>
      <c r="H116" s="388">
        <f t="shared" si="41"/>
        <v>0</v>
      </c>
      <c r="I116" s="388">
        <f t="shared" si="41"/>
        <v>0</v>
      </c>
      <c r="J116" s="388">
        <f t="shared" si="41"/>
        <v>0</v>
      </c>
      <c r="K116" s="388">
        <f t="shared" si="41"/>
        <v>0</v>
      </c>
      <c r="L116" s="388">
        <f t="shared" si="41"/>
        <v>0</v>
      </c>
      <c r="M116" s="388">
        <f t="shared" si="41"/>
        <v>0</v>
      </c>
      <c r="N116" s="388">
        <f t="shared" si="41"/>
        <v>0</v>
      </c>
      <c r="O116" s="388">
        <f t="shared" si="41"/>
        <v>0</v>
      </c>
      <c r="P116" s="388">
        <f t="shared" si="41"/>
        <v>1735588</v>
      </c>
    </row>
    <row r="117" spans="1:16" s="376" customFormat="1" ht="36" customHeight="1">
      <c r="A117" s="10" t="s">
        <v>316</v>
      </c>
      <c r="B117" s="10" t="s">
        <v>317</v>
      </c>
      <c r="C117" s="10" t="s">
        <v>181</v>
      </c>
      <c r="D117" s="98" t="s">
        <v>318</v>
      </c>
      <c r="E117" s="374">
        <f>5000000-2053300-400000-811112</f>
        <v>1735588</v>
      </c>
      <c r="F117" s="97"/>
      <c r="G117" s="97"/>
      <c r="H117" s="97"/>
      <c r="I117" s="97"/>
      <c r="J117" s="374">
        <f>L117+O117</f>
        <v>0</v>
      </c>
      <c r="K117" s="97">
        <f>952356-500000-126600-207562-63000-40246-14948</f>
        <v>0</v>
      </c>
      <c r="L117" s="97"/>
      <c r="M117" s="97"/>
      <c r="N117" s="97"/>
      <c r="O117" s="97">
        <f>952356-500000-126600-207562-63000-40246-14948</f>
        <v>0</v>
      </c>
      <c r="P117" s="97">
        <f>J117+E117</f>
        <v>1735588</v>
      </c>
    </row>
    <row r="118" spans="1:16" s="376" customFormat="1" ht="39.75" customHeight="1">
      <c r="A118" s="129"/>
      <c r="B118" s="129" t="s">
        <v>428</v>
      </c>
      <c r="C118" s="129"/>
      <c r="D118" s="130" t="s">
        <v>429</v>
      </c>
      <c r="E118" s="388">
        <f>SUM(E119:E120)</f>
        <v>950000</v>
      </c>
      <c r="F118" s="388">
        <f aca="true" t="shared" si="42" ref="F118:N118">SUM(F119:F120)</f>
        <v>50000</v>
      </c>
      <c r="G118" s="388">
        <f t="shared" si="42"/>
        <v>0</v>
      </c>
      <c r="H118" s="388">
        <f t="shared" si="42"/>
        <v>0</v>
      </c>
      <c r="I118" s="388">
        <f t="shared" si="42"/>
        <v>900000</v>
      </c>
      <c r="J118" s="388">
        <f t="shared" si="42"/>
        <v>0</v>
      </c>
      <c r="K118" s="388">
        <f t="shared" si="42"/>
        <v>0</v>
      </c>
      <c r="L118" s="388">
        <f t="shared" si="42"/>
        <v>0</v>
      </c>
      <c r="M118" s="388">
        <f t="shared" si="42"/>
        <v>0</v>
      </c>
      <c r="N118" s="388">
        <f t="shared" si="42"/>
        <v>0</v>
      </c>
      <c r="O118" s="388">
        <f>SUM(O119:O120)</f>
        <v>0</v>
      </c>
      <c r="P118" s="388">
        <f>SUM(P119:P120)</f>
        <v>950000</v>
      </c>
    </row>
    <row r="119" spans="1:16" s="376" customFormat="1" ht="36.75" customHeight="1">
      <c r="A119" s="10" t="s">
        <v>72</v>
      </c>
      <c r="B119" s="10" t="s">
        <v>73</v>
      </c>
      <c r="C119" s="10" t="s">
        <v>180</v>
      </c>
      <c r="D119" s="98" t="s">
        <v>512</v>
      </c>
      <c r="E119" s="374">
        <f>F119+I119</f>
        <v>50000</v>
      </c>
      <c r="F119" s="97">
        <v>50000</v>
      </c>
      <c r="G119" s="97"/>
      <c r="H119" s="97"/>
      <c r="I119" s="97"/>
      <c r="J119" s="374">
        <f>L119+O119</f>
        <v>0</v>
      </c>
      <c r="K119" s="97"/>
      <c r="L119" s="97"/>
      <c r="M119" s="97"/>
      <c r="N119" s="97"/>
      <c r="O119" s="97"/>
      <c r="P119" s="97">
        <f>J119+E119</f>
        <v>50000</v>
      </c>
    </row>
    <row r="120" spans="1:16" s="376" customFormat="1" ht="36.75" customHeight="1">
      <c r="A120" s="10" t="s">
        <v>472</v>
      </c>
      <c r="B120" s="10" t="s">
        <v>473</v>
      </c>
      <c r="C120" s="10" t="s">
        <v>180</v>
      </c>
      <c r="D120" s="98" t="s">
        <v>474</v>
      </c>
      <c r="E120" s="374">
        <f>F120+I120</f>
        <v>900000</v>
      </c>
      <c r="F120" s="97"/>
      <c r="G120" s="97"/>
      <c r="H120" s="97"/>
      <c r="I120" s="97">
        <v>900000</v>
      </c>
      <c r="J120" s="374">
        <f>L120+O120</f>
        <v>0</v>
      </c>
      <c r="K120" s="97"/>
      <c r="L120" s="97"/>
      <c r="M120" s="97"/>
      <c r="N120" s="97"/>
      <c r="O120" s="97"/>
      <c r="P120" s="97">
        <f>J120+E120</f>
        <v>900000</v>
      </c>
    </row>
    <row r="121" spans="1:16" s="376" customFormat="1" ht="31.5" customHeight="1">
      <c r="A121" s="371" t="s">
        <v>128</v>
      </c>
      <c r="B121" s="371" t="s">
        <v>128</v>
      </c>
      <c r="C121" s="371" t="s">
        <v>128</v>
      </c>
      <c r="D121" s="371" t="s">
        <v>319</v>
      </c>
      <c r="E121" s="373">
        <f aca="true" t="shared" si="43" ref="E121:P121">E16+E52+E91+E112+E75</f>
        <v>324437495.11</v>
      </c>
      <c r="F121" s="366">
        <f t="shared" si="43"/>
        <v>289209752.11</v>
      </c>
      <c r="G121" s="366">
        <f t="shared" si="43"/>
        <v>188194797</v>
      </c>
      <c r="H121" s="366">
        <f t="shared" si="43"/>
        <v>26938325</v>
      </c>
      <c r="I121" s="366">
        <f t="shared" si="43"/>
        <v>33492155</v>
      </c>
      <c r="J121" s="373">
        <f t="shared" si="43"/>
        <v>78989719.36</v>
      </c>
      <c r="K121" s="366">
        <f t="shared" si="43"/>
        <v>23435574.36</v>
      </c>
      <c r="L121" s="366">
        <f t="shared" si="43"/>
        <v>5364145</v>
      </c>
      <c r="M121" s="366">
        <f t="shared" si="43"/>
        <v>134800</v>
      </c>
      <c r="N121" s="366">
        <f t="shared" si="43"/>
        <v>0</v>
      </c>
      <c r="O121" s="366">
        <f t="shared" si="43"/>
        <v>73625574.36</v>
      </c>
      <c r="P121" s="366">
        <f t="shared" si="43"/>
        <v>403427214.47</v>
      </c>
    </row>
    <row r="122" spans="1:16" s="375" customFormat="1" ht="13.5">
      <c r="A122" s="379"/>
      <c r="B122" s="380"/>
      <c r="C122" s="380"/>
      <c r="D122" s="381"/>
      <c r="E122" s="382"/>
      <c r="F122" s="382"/>
      <c r="G122" s="382"/>
      <c r="H122" s="382"/>
      <c r="I122" s="382"/>
      <c r="J122" s="382"/>
      <c r="K122" s="382"/>
      <c r="L122" s="382"/>
      <c r="M122" s="382"/>
      <c r="N122" s="382"/>
      <c r="O122" s="382"/>
      <c r="P122" s="382"/>
    </row>
    <row r="123" spans="1:16" s="383" customFormat="1" ht="52.5" customHeight="1">
      <c r="A123" s="441" t="str">
        <f>додаток1!A132</f>
        <v>Секретар міської ради                                                                        Наталія  ІВАНЮТА</v>
      </c>
      <c r="B123" s="441"/>
      <c r="C123" s="441"/>
      <c r="D123" s="441"/>
      <c r="E123" s="441"/>
      <c r="F123" s="441"/>
      <c r="G123" s="441"/>
      <c r="H123" s="441"/>
      <c r="I123" s="441"/>
      <c r="J123" s="441"/>
      <c r="K123" s="441"/>
      <c r="L123" s="441"/>
      <c r="M123" s="441"/>
      <c r="N123" s="441"/>
      <c r="O123" s="441"/>
      <c r="P123" s="441"/>
    </row>
    <row r="124" spans="1:16" s="375" customFormat="1" ht="13.5">
      <c r="A124" s="379"/>
      <c r="B124" s="380"/>
      <c r="C124" s="380"/>
      <c r="D124" s="381"/>
      <c r="E124" s="382"/>
      <c r="F124" s="382"/>
      <c r="G124" s="382"/>
      <c r="H124" s="382"/>
      <c r="I124" s="382"/>
      <c r="J124" s="382"/>
      <c r="K124" s="382"/>
      <c r="L124" s="382"/>
      <c r="M124" s="382"/>
      <c r="N124" s="382"/>
      <c r="O124" s="382"/>
      <c r="P124" s="382"/>
    </row>
    <row r="125" spans="1:16" s="375" customFormat="1" ht="13.5">
      <c r="A125" s="379"/>
      <c r="B125" s="380"/>
      <c r="C125" s="380"/>
      <c r="D125" s="381"/>
      <c r="E125" s="382"/>
      <c r="F125" s="382"/>
      <c r="G125" s="382"/>
      <c r="H125" s="382"/>
      <c r="I125" s="382"/>
      <c r="J125" s="382"/>
      <c r="K125" s="382"/>
      <c r="L125" s="382"/>
      <c r="M125" s="382"/>
      <c r="N125" s="382"/>
      <c r="O125" s="382"/>
      <c r="P125" s="382"/>
    </row>
    <row r="126" spans="1:16" s="426" customFormat="1" ht="21">
      <c r="A126" s="424"/>
      <c r="B126" s="425"/>
      <c r="C126" s="425"/>
      <c r="D126" s="426" t="s">
        <v>430</v>
      </c>
      <c r="E126" s="427">
        <f>додаток1!D130+'Додаток 2'!D15-'Додаток 3'!E121</f>
        <v>0</v>
      </c>
      <c r="F126" s="428"/>
      <c r="G126" s="428"/>
      <c r="H126" s="428"/>
      <c r="I126" s="428"/>
      <c r="J126" s="427">
        <f>додаток1!E130+'Додаток 2'!E15-'Додаток 3'!J121</f>
        <v>0</v>
      </c>
      <c r="K126" s="428"/>
      <c r="L126" s="428"/>
      <c r="M126" s="428"/>
      <c r="N126" s="428"/>
      <c r="O126" s="428">
        <v>0</v>
      </c>
      <c r="P126" s="428">
        <f>додаток1!C130+'Додаток 2'!C15-'Додаток 3'!P121</f>
        <v>0</v>
      </c>
    </row>
    <row r="127" spans="1:16" s="375" customFormat="1" ht="13.5">
      <c r="A127" s="379"/>
      <c r="B127" s="380"/>
      <c r="C127" s="380"/>
      <c r="D127" s="381"/>
      <c r="E127" s="382"/>
      <c r="F127" s="382"/>
      <c r="G127" s="382"/>
      <c r="H127" s="382"/>
      <c r="I127" s="382"/>
      <c r="J127" s="382"/>
      <c r="K127" s="382"/>
      <c r="L127" s="382"/>
      <c r="M127" s="382"/>
      <c r="N127" s="382"/>
      <c r="O127" s="382"/>
      <c r="P127" s="382"/>
    </row>
    <row r="128" spans="1:16" s="375" customFormat="1" ht="13.5">
      <c r="A128" s="379"/>
      <c r="B128" s="380"/>
      <c r="C128" s="380"/>
      <c r="D128" s="381"/>
      <c r="E128" s="382"/>
      <c r="F128" s="382"/>
      <c r="G128" s="382"/>
      <c r="H128" s="382"/>
      <c r="I128" s="382"/>
      <c r="J128" s="382"/>
      <c r="K128" s="382"/>
      <c r="L128" s="382"/>
      <c r="M128" s="382"/>
      <c r="N128" s="382"/>
      <c r="O128" s="382"/>
      <c r="P128" s="382"/>
    </row>
    <row r="129" spans="1:16" s="375" customFormat="1" ht="13.5">
      <c r="A129" s="379"/>
      <c r="B129" s="380"/>
      <c r="C129" s="380"/>
      <c r="D129" s="381"/>
      <c r="E129" s="382"/>
      <c r="F129" s="382"/>
      <c r="G129" s="382"/>
      <c r="H129" s="382"/>
      <c r="I129" s="382"/>
      <c r="J129" s="382"/>
      <c r="K129" s="382"/>
      <c r="L129" s="382"/>
      <c r="M129" s="382"/>
      <c r="N129" s="382"/>
      <c r="O129" s="382"/>
      <c r="P129" s="382"/>
    </row>
    <row r="130" spans="1:16" s="375" customFormat="1" ht="13.5">
      <c r="A130" s="379"/>
      <c r="B130" s="380"/>
      <c r="C130" s="380"/>
      <c r="D130" s="381"/>
      <c r="E130" s="382"/>
      <c r="F130" s="382"/>
      <c r="G130" s="382"/>
      <c r="H130" s="382"/>
      <c r="I130" s="382"/>
      <c r="J130" s="382"/>
      <c r="K130" s="382"/>
      <c r="L130" s="382"/>
      <c r="M130" s="382"/>
      <c r="N130" s="382"/>
      <c r="O130" s="382"/>
      <c r="P130" s="382"/>
    </row>
    <row r="131" spans="1:16" s="375" customFormat="1" ht="13.5">
      <c r="A131" s="379"/>
      <c r="B131" s="380"/>
      <c r="C131" s="380"/>
      <c r="D131" s="381"/>
      <c r="E131" s="382"/>
      <c r="F131" s="382"/>
      <c r="G131" s="382"/>
      <c r="H131" s="382"/>
      <c r="I131" s="382"/>
      <c r="J131" s="382"/>
      <c r="K131" s="382"/>
      <c r="L131" s="382"/>
      <c r="M131" s="382"/>
      <c r="N131" s="382"/>
      <c r="O131" s="382"/>
      <c r="P131" s="382"/>
    </row>
    <row r="132" spans="1:16" s="375" customFormat="1" ht="13.5">
      <c r="A132" s="379"/>
      <c r="B132" s="380"/>
      <c r="C132" s="380"/>
      <c r="D132" s="381"/>
      <c r="E132" s="382"/>
      <c r="F132" s="382"/>
      <c r="G132" s="382"/>
      <c r="H132" s="382"/>
      <c r="I132" s="382"/>
      <c r="J132" s="382"/>
      <c r="K132" s="382"/>
      <c r="L132" s="382"/>
      <c r="M132" s="382"/>
      <c r="N132" s="382"/>
      <c r="O132" s="382"/>
      <c r="P132" s="382"/>
    </row>
    <row r="133" spans="1:16" s="375" customFormat="1" ht="13.5">
      <c r="A133" s="379"/>
      <c r="B133" s="380"/>
      <c r="C133" s="380"/>
      <c r="D133" s="381"/>
      <c r="E133" s="382"/>
      <c r="F133" s="382"/>
      <c r="G133" s="382"/>
      <c r="H133" s="382"/>
      <c r="I133" s="382"/>
      <c r="J133" s="382"/>
      <c r="K133" s="382"/>
      <c r="L133" s="382"/>
      <c r="M133" s="382"/>
      <c r="N133" s="382"/>
      <c r="O133" s="382"/>
      <c r="P133" s="382"/>
    </row>
    <row r="134" spans="1:16" s="375" customFormat="1" ht="13.5">
      <c r="A134" s="379"/>
      <c r="B134" s="380"/>
      <c r="C134" s="380"/>
      <c r="D134" s="381"/>
      <c r="E134" s="382"/>
      <c r="F134" s="382"/>
      <c r="G134" s="382"/>
      <c r="H134" s="382"/>
      <c r="I134" s="382"/>
      <c r="J134" s="382"/>
      <c r="K134" s="382"/>
      <c r="L134" s="382"/>
      <c r="M134" s="382"/>
      <c r="N134" s="382"/>
      <c r="O134" s="382"/>
      <c r="P134" s="382"/>
    </row>
    <row r="135" spans="1:16" s="375" customFormat="1" ht="13.5">
      <c r="A135" s="379"/>
      <c r="B135" s="380"/>
      <c r="C135" s="380"/>
      <c r="D135" s="381"/>
      <c r="E135" s="382"/>
      <c r="F135" s="382"/>
      <c r="G135" s="382"/>
      <c r="H135" s="382"/>
      <c r="I135" s="382"/>
      <c r="J135" s="382"/>
      <c r="K135" s="382"/>
      <c r="L135" s="382"/>
      <c r="M135" s="382"/>
      <c r="N135" s="382"/>
      <c r="O135" s="382"/>
      <c r="P135" s="382"/>
    </row>
    <row r="136" spans="1:16" s="375" customFormat="1" ht="13.5">
      <c r="A136" s="379"/>
      <c r="B136" s="380"/>
      <c r="C136" s="380"/>
      <c r="D136" s="381"/>
      <c r="E136" s="382"/>
      <c r="F136" s="382"/>
      <c r="G136" s="382"/>
      <c r="H136" s="382"/>
      <c r="I136" s="382"/>
      <c r="J136" s="382"/>
      <c r="K136" s="382"/>
      <c r="L136" s="382"/>
      <c r="M136" s="382"/>
      <c r="N136" s="382"/>
      <c r="O136" s="382"/>
      <c r="P136" s="382"/>
    </row>
    <row r="137" spans="1:16" s="375" customFormat="1" ht="13.5">
      <c r="A137" s="379"/>
      <c r="B137" s="380"/>
      <c r="C137" s="380"/>
      <c r="D137" s="381"/>
      <c r="E137" s="382"/>
      <c r="F137" s="382"/>
      <c r="G137" s="382"/>
      <c r="H137" s="382"/>
      <c r="I137" s="382"/>
      <c r="J137" s="382"/>
      <c r="K137" s="382"/>
      <c r="L137" s="382"/>
      <c r="M137" s="382"/>
      <c r="N137" s="382"/>
      <c r="O137" s="382"/>
      <c r="P137" s="382"/>
    </row>
    <row r="138" spans="1:16" s="375" customFormat="1" ht="13.5">
      <c r="A138" s="379"/>
      <c r="B138" s="380"/>
      <c r="C138" s="380"/>
      <c r="D138" s="381"/>
      <c r="E138" s="382"/>
      <c r="F138" s="382"/>
      <c r="G138" s="382"/>
      <c r="H138" s="382"/>
      <c r="I138" s="382"/>
      <c r="J138" s="382"/>
      <c r="K138" s="382"/>
      <c r="L138" s="382"/>
      <c r="M138" s="382"/>
      <c r="N138" s="382"/>
      <c r="O138" s="382"/>
      <c r="P138" s="382"/>
    </row>
    <row r="139" spans="1:16" s="375" customFormat="1" ht="13.5">
      <c r="A139" s="379"/>
      <c r="B139" s="380"/>
      <c r="C139" s="380"/>
      <c r="D139" s="381"/>
      <c r="E139" s="382"/>
      <c r="F139" s="382"/>
      <c r="G139" s="382"/>
      <c r="H139" s="382"/>
      <c r="I139" s="382"/>
      <c r="J139" s="382"/>
      <c r="K139" s="382"/>
      <c r="L139" s="382"/>
      <c r="M139" s="382"/>
      <c r="N139" s="382"/>
      <c r="O139" s="382"/>
      <c r="P139" s="382"/>
    </row>
    <row r="140" spans="1:16" s="375" customFormat="1" ht="13.5">
      <c r="A140" s="379"/>
      <c r="B140" s="380"/>
      <c r="C140" s="380"/>
      <c r="D140" s="381"/>
      <c r="E140" s="382"/>
      <c r="F140" s="382"/>
      <c r="G140" s="382"/>
      <c r="H140" s="382"/>
      <c r="I140" s="382"/>
      <c r="J140" s="382"/>
      <c r="K140" s="382"/>
      <c r="L140" s="382"/>
      <c r="M140" s="382"/>
      <c r="N140" s="382"/>
      <c r="O140" s="382"/>
      <c r="P140" s="382"/>
    </row>
    <row r="141" spans="1:16" s="375" customFormat="1" ht="13.5">
      <c r="A141" s="379"/>
      <c r="B141" s="380"/>
      <c r="C141" s="380"/>
      <c r="D141" s="381"/>
      <c r="E141" s="382"/>
      <c r="F141" s="382"/>
      <c r="G141" s="382"/>
      <c r="H141" s="382"/>
      <c r="I141" s="382"/>
      <c r="J141" s="382"/>
      <c r="K141" s="382"/>
      <c r="L141" s="382"/>
      <c r="M141" s="382"/>
      <c r="N141" s="382"/>
      <c r="O141" s="382"/>
      <c r="P141" s="382"/>
    </row>
    <row r="142" spans="1:16" s="375" customFormat="1" ht="13.5">
      <c r="A142" s="379"/>
      <c r="B142" s="380"/>
      <c r="C142" s="380"/>
      <c r="D142" s="381"/>
      <c r="E142" s="382"/>
      <c r="F142" s="382"/>
      <c r="G142" s="382"/>
      <c r="H142" s="382"/>
      <c r="I142" s="382"/>
      <c r="J142" s="382"/>
      <c r="K142" s="382"/>
      <c r="L142" s="382"/>
      <c r="M142" s="382"/>
      <c r="N142" s="382"/>
      <c r="O142" s="382"/>
      <c r="P142" s="382"/>
    </row>
    <row r="143" spans="1:16" s="375" customFormat="1" ht="13.5">
      <c r="A143" s="379"/>
      <c r="B143" s="380"/>
      <c r="C143" s="380"/>
      <c r="D143" s="381"/>
      <c r="E143" s="382"/>
      <c r="F143" s="382"/>
      <c r="G143" s="382"/>
      <c r="H143" s="382"/>
      <c r="I143" s="382"/>
      <c r="J143" s="382"/>
      <c r="K143" s="382"/>
      <c r="L143" s="382"/>
      <c r="M143" s="382"/>
      <c r="N143" s="382"/>
      <c r="O143" s="382"/>
      <c r="P143" s="382"/>
    </row>
    <row r="144" spans="1:16" s="375" customFormat="1" ht="13.5">
      <c r="A144" s="379"/>
      <c r="B144" s="380"/>
      <c r="C144" s="380"/>
      <c r="D144" s="381"/>
      <c r="E144" s="382"/>
      <c r="F144" s="382"/>
      <c r="G144" s="382"/>
      <c r="H144" s="382"/>
      <c r="I144" s="382"/>
      <c r="J144" s="382"/>
      <c r="K144" s="382"/>
      <c r="L144" s="382"/>
      <c r="M144" s="382"/>
      <c r="N144" s="382"/>
      <c r="O144" s="382"/>
      <c r="P144" s="382"/>
    </row>
    <row r="145" spans="1:16" s="375" customFormat="1" ht="13.5">
      <c r="A145" s="379"/>
      <c r="B145" s="380"/>
      <c r="C145" s="380"/>
      <c r="D145" s="381"/>
      <c r="E145" s="382"/>
      <c r="F145" s="382"/>
      <c r="G145" s="382"/>
      <c r="H145" s="382"/>
      <c r="I145" s="382"/>
      <c r="J145" s="382"/>
      <c r="K145" s="382"/>
      <c r="L145" s="382"/>
      <c r="M145" s="382"/>
      <c r="N145" s="382"/>
      <c r="O145" s="382"/>
      <c r="P145" s="382"/>
    </row>
    <row r="146" spans="1:16" s="375" customFormat="1" ht="13.5">
      <c r="A146" s="379"/>
      <c r="B146" s="380"/>
      <c r="C146" s="380"/>
      <c r="D146" s="381"/>
      <c r="E146" s="382"/>
      <c r="F146" s="382"/>
      <c r="G146" s="382"/>
      <c r="H146" s="382"/>
      <c r="I146" s="382"/>
      <c r="J146" s="382"/>
      <c r="K146" s="382"/>
      <c r="L146" s="382"/>
      <c r="M146" s="382"/>
      <c r="N146" s="382"/>
      <c r="O146" s="382"/>
      <c r="P146" s="382"/>
    </row>
    <row r="147" spans="1:16" s="375" customFormat="1" ht="13.5">
      <c r="A147" s="379"/>
      <c r="B147" s="380"/>
      <c r="C147" s="380"/>
      <c r="D147" s="381"/>
      <c r="E147" s="382"/>
      <c r="F147" s="382"/>
      <c r="G147" s="382"/>
      <c r="H147" s="382"/>
      <c r="I147" s="382"/>
      <c r="J147" s="382"/>
      <c r="K147" s="382"/>
      <c r="L147" s="382"/>
      <c r="M147" s="382"/>
      <c r="N147" s="382"/>
      <c r="O147" s="382"/>
      <c r="P147" s="382"/>
    </row>
    <row r="148" spans="1:16" s="375" customFormat="1" ht="13.5">
      <c r="A148" s="379"/>
      <c r="B148" s="380"/>
      <c r="C148" s="380"/>
      <c r="D148" s="381"/>
      <c r="E148" s="382"/>
      <c r="F148" s="382"/>
      <c r="G148" s="382"/>
      <c r="H148" s="382"/>
      <c r="I148" s="382"/>
      <c r="J148" s="382"/>
      <c r="K148" s="382"/>
      <c r="L148" s="382"/>
      <c r="M148" s="382"/>
      <c r="N148" s="382"/>
      <c r="O148" s="382"/>
      <c r="P148" s="382"/>
    </row>
    <row r="149" spans="1:16" s="375" customFormat="1" ht="13.5">
      <c r="A149" s="379"/>
      <c r="B149" s="380"/>
      <c r="C149" s="380"/>
      <c r="D149" s="381"/>
      <c r="E149" s="382"/>
      <c r="F149" s="382"/>
      <c r="G149" s="382"/>
      <c r="H149" s="382"/>
      <c r="I149" s="382"/>
      <c r="J149" s="382"/>
      <c r="K149" s="382"/>
      <c r="L149" s="382"/>
      <c r="M149" s="382"/>
      <c r="N149" s="382"/>
      <c r="O149" s="382"/>
      <c r="P149" s="382"/>
    </row>
    <row r="150" spans="1:16" s="375" customFormat="1" ht="13.5">
      <c r="A150" s="379"/>
      <c r="B150" s="380"/>
      <c r="C150" s="380"/>
      <c r="D150" s="381"/>
      <c r="E150" s="382"/>
      <c r="F150" s="382"/>
      <c r="G150" s="382"/>
      <c r="H150" s="382"/>
      <c r="I150" s="382"/>
      <c r="J150" s="382"/>
      <c r="K150" s="382"/>
      <c r="L150" s="382"/>
      <c r="M150" s="382"/>
      <c r="N150" s="382"/>
      <c r="O150" s="382"/>
      <c r="P150" s="382"/>
    </row>
    <row r="151" spans="1:16" s="375" customFormat="1" ht="13.5">
      <c r="A151" s="379"/>
      <c r="B151" s="380"/>
      <c r="C151" s="380"/>
      <c r="D151" s="381"/>
      <c r="E151" s="382"/>
      <c r="F151" s="382"/>
      <c r="G151" s="382"/>
      <c r="H151" s="382"/>
      <c r="I151" s="382"/>
      <c r="J151" s="382"/>
      <c r="K151" s="382"/>
      <c r="L151" s="382"/>
      <c r="M151" s="382"/>
      <c r="N151" s="382"/>
      <c r="O151" s="382"/>
      <c r="P151" s="382"/>
    </row>
    <row r="152" spans="1:16" s="375" customFormat="1" ht="13.5">
      <c r="A152" s="379"/>
      <c r="B152" s="380"/>
      <c r="C152" s="380"/>
      <c r="D152" s="381"/>
      <c r="E152" s="382"/>
      <c r="F152" s="382"/>
      <c r="G152" s="382"/>
      <c r="H152" s="382"/>
      <c r="I152" s="382"/>
      <c r="J152" s="382"/>
      <c r="K152" s="382"/>
      <c r="L152" s="382"/>
      <c r="M152" s="382"/>
      <c r="N152" s="382"/>
      <c r="O152" s="382"/>
      <c r="P152" s="382"/>
    </row>
  </sheetData>
  <sheetProtection/>
  <mergeCells count="30">
    <mergeCell ref="L6:P6"/>
    <mergeCell ref="A123:P123"/>
    <mergeCell ref="A11:A14"/>
    <mergeCell ref="B11:B14"/>
    <mergeCell ref="C11:C14"/>
    <mergeCell ref="D11:D14"/>
    <mergeCell ref="J11:O11"/>
    <mergeCell ref="E12:E14"/>
    <mergeCell ref="F12:F14"/>
    <mergeCell ref="G13:G14"/>
    <mergeCell ref="H13:H14"/>
    <mergeCell ref="P11:P14"/>
    <mergeCell ref="I12:I14"/>
    <mergeCell ref="B7:P7"/>
    <mergeCell ref="A8:B8"/>
    <mergeCell ref="A9:B9"/>
    <mergeCell ref="E11:I11"/>
    <mergeCell ref="G12:H12"/>
    <mergeCell ref="M12:N12"/>
    <mergeCell ref="J12:J14"/>
    <mergeCell ref="K12:K14"/>
    <mergeCell ref="M1:P1"/>
    <mergeCell ref="M2:P2"/>
    <mergeCell ref="M3:P3"/>
    <mergeCell ref="L5:P5"/>
    <mergeCell ref="M4:P4"/>
    <mergeCell ref="M13:M14"/>
    <mergeCell ref="N13:N14"/>
    <mergeCell ref="O12:O14"/>
    <mergeCell ref="L12:L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55"/>
  <sheetViews>
    <sheetView showZeros="0" zoomScale="80" zoomScaleNormal="80" zoomScalePageLayoutView="0" workbookViewId="0" topLeftCell="E1">
      <selection activeCell="E3" sqref="A3:IV5"/>
    </sheetView>
  </sheetViews>
  <sheetFormatPr defaultColWidth="8.875" defaultRowHeight="12.75"/>
  <cols>
    <col min="1" max="1" width="14.00390625" style="9" customWidth="1"/>
    <col min="2" max="2" width="15.75390625" style="9" customWidth="1"/>
    <col min="3" max="3" width="15.875" style="9" customWidth="1"/>
    <col min="4" max="4" width="39.125" style="9" customWidth="1"/>
    <col min="5" max="5" width="12.375" style="9" customWidth="1"/>
    <col min="6" max="6" width="10.25390625" style="9" customWidth="1"/>
    <col min="7" max="7" width="11.625" style="9" customWidth="1"/>
    <col min="8" max="8" width="11.75390625" style="9" customWidth="1"/>
    <col min="9" max="9" width="12.625" style="9" customWidth="1"/>
    <col min="10" max="10" width="9.75390625" style="9" bestFit="1" customWidth="1"/>
    <col min="11" max="11" width="11.875" style="9" customWidth="1"/>
    <col min="12" max="12" width="11.625" style="9" customWidth="1"/>
    <col min="13" max="13" width="12.25390625" style="9" customWidth="1"/>
    <col min="14" max="14" width="11.75390625" style="9" customWidth="1"/>
    <col min="15" max="15" width="9.25390625" style="9" bestFit="1" customWidth="1"/>
    <col min="16" max="16" width="10.875" style="9" customWidth="1"/>
    <col min="17" max="16384" width="8.875" style="9" customWidth="1"/>
  </cols>
  <sheetData>
    <row r="1" spans="12:16" ht="15">
      <c r="L1" s="438" t="s">
        <v>320</v>
      </c>
      <c r="M1" s="438"/>
      <c r="N1" s="438"/>
      <c r="O1" s="438"/>
      <c r="P1" s="438"/>
    </row>
    <row r="2" spans="10:16" ht="15">
      <c r="J2" s="81"/>
      <c r="K2" s="81"/>
      <c r="L2" s="438" t="str">
        <f>додаток1!D2</f>
        <v>до рішення сімнадцятої сесії Тетіївської міської ради</v>
      </c>
      <c r="M2" s="438"/>
      <c r="N2" s="438"/>
      <c r="O2" s="438"/>
      <c r="P2" s="438"/>
    </row>
    <row r="3" spans="12:16" ht="29.25" customHeight="1">
      <c r="L3" s="487" t="str">
        <f>додаток1!D3</f>
        <v>"Про бюджет Тетіївської міської територіальної громади на 2023 рік" від 20.12.2022 № 772-17-VIII</v>
      </c>
      <c r="M3" s="487"/>
      <c r="N3" s="487"/>
      <c r="O3" s="487"/>
      <c r="P3" s="487"/>
    </row>
    <row r="4" spans="12:16" ht="31.5" customHeight="1">
      <c r="L4" s="487" t="str">
        <f>додаток1!D4</f>
        <v>(в редакції рішення двадцять третьої сесії Тетіївської міської ради від 26.10.2023 № 1037-23-VIII)</v>
      </c>
      <c r="M4" s="487"/>
      <c r="N4" s="487"/>
      <c r="O4" s="487"/>
      <c r="P4" s="487"/>
    </row>
    <row r="5" spans="12:16" ht="27" customHeight="1">
      <c r="L5" s="488">
        <f>додаток1!C5</f>
        <v>0</v>
      </c>
      <c r="M5" s="488"/>
      <c r="N5" s="488"/>
      <c r="O5" s="488"/>
      <c r="P5" s="488"/>
    </row>
    <row r="6" spans="1:16" ht="27" customHeight="1">
      <c r="A6" s="489" t="s">
        <v>542</v>
      </c>
      <c r="B6" s="489"/>
      <c r="C6" s="489"/>
      <c r="D6" s="489"/>
      <c r="E6" s="489"/>
      <c r="F6" s="489"/>
      <c r="G6" s="489"/>
      <c r="H6" s="489"/>
      <c r="I6" s="489"/>
      <c r="J6" s="489"/>
      <c r="K6" s="489"/>
      <c r="L6" s="489"/>
      <c r="M6" s="489"/>
      <c r="N6" s="489"/>
      <c r="O6" s="489"/>
      <c r="P6" s="489"/>
    </row>
    <row r="8" spans="1:2" ht="15">
      <c r="A8" s="490">
        <f>додаток1!A8</f>
        <v>1050800000</v>
      </c>
      <c r="B8" s="490"/>
    </row>
    <row r="9" spans="1:2" ht="12.75">
      <c r="A9" s="491" t="s">
        <v>13</v>
      </c>
      <c r="B9" s="491"/>
    </row>
    <row r="10" ht="15">
      <c r="P10" s="6" t="s">
        <v>14</v>
      </c>
    </row>
    <row r="11" spans="1:17" s="3" customFormat="1" ht="23.25" customHeight="1">
      <c r="A11" s="498" t="s">
        <v>158</v>
      </c>
      <c r="B11" s="501" t="s">
        <v>159</v>
      </c>
      <c r="C11" s="437" t="s">
        <v>160</v>
      </c>
      <c r="D11" s="437" t="s">
        <v>161</v>
      </c>
      <c r="E11" s="492" t="s">
        <v>321</v>
      </c>
      <c r="F11" s="492"/>
      <c r="G11" s="492"/>
      <c r="H11" s="492"/>
      <c r="I11" s="492" t="s">
        <v>322</v>
      </c>
      <c r="J11" s="492"/>
      <c r="K11" s="492"/>
      <c r="L11" s="492"/>
      <c r="M11" s="492" t="s">
        <v>323</v>
      </c>
      <c r="N11" s="492"/>
      <c r="O11" s="492"/>
      <c r="P11" s="492"/>
      <c r="Q11" s="84"/>
    </row>
    <row r="12" spans="1:17" s="3" customFormat="1" ht="33" customHeight="1">
      <c r="A12" s="499"/>
      <c r="B12" s="501"/>
      <c r="C12" s="437"/>
      <c r="D12" s="437"/>
      <c r="E12" s="495" t="s">
        <v>18</v>
      </c>
      <c r="F12" s="493" t="s">
        <v>324</v>
      </c>
      <c r="G12" s="494"/>
      <c r="H12" s="495" t="s">
        <v>136</v>
      </c>
      <c r="I12" s="495" t="s">
        <v>18</v>
      </c>
      <c r="J12" s="493" t="s">
        <v>324</v>
      </c>
      <c r="K12" s="494"/>
      <c r="L12" s="495" t="s">
        <v>136</v>
      </c>
      <c r="M12" s="495" t="s">
        <v>18</v>
      </c>
      <c r="N12" s="493" t="s">
        <v>324</v>
      </c>
      <c r="O12" s="494"/>
      <c r="P12" s="495" t="s">
        <v>136</v>
      </c>
      <c r="Q12" s="84"/>
    </row>
    <row r="13" spans="1:17" s="3" customFormat="1" ht="13.5" customHeight="1">
      <c r="A13" s="499"/>
      <c r="B13" s="501"/>
      <c r="C13" s="437"/>
      <c r="D13" s="437"/>
      <c r="E13" s="495"/>
      <c r="F13" s="496" t="s">
        <v>17</v>
      </c>
      <c r="G13" s="496" t="s">
        <v>325</v>
      </c>
      <c r="H13" s="495"/>
      <c r="I13" s="495"/>
      <c r="J13" s="496" t="s">
        <v>17</v>
      </c>
      <c r="K13" s="496" t="s">
        <v>325</v>
      </c>
      <c r="L13" s="495"/>
      <c r="M13" s="495"/>
      <c r="N13" s="496" t="s">
        <v>17</v>
      </c>
      <c r="O13" s="496" t="s">
        <v>325</v>
      </c>
      <c r="P13" s="495"/>
      <c r="Q13" s="84"/>
    </row>
    <row r="14" spans="1:17" s="3" customFormat="1" ht="96" customHeight="1">
      <c r="A14" s="500"/>
      <c r="B14" s="501"/>
      <c r="C14" s="437"/>
      <c r="D14" s="437"/>
      <c r="E14" s="495"/>
      <c r="F14" s="497"/>
      <c r="G14" s="497"/>
      <c r="H14" s="495"/>
      <c r="I14" s="495"/>
      <c r="J14" s="497"/>
      <c r="K14" s="497"/>
      <c r="L14" s="495"/>
      <c r="M14" s="495"/>
      <c r="N14" s="497"/>
      <c r="O14" s="497"/>
      <c r="P14" s="495"/>
      <c r="Q14" s="84"/>
    </row>
    <row r="15" spans="1:17" s="3" customFormat="1" ht="14.25" customHeight="1">
      <c r="A15" s="64">
        <v>1</v>
      </c>
      <c r="B15" s="32">
        <v>2</v>
      </c>
      <c r="C15" s="64">
        <v>3</v>
      </c>
      <c r="D15" s="64">
        <v>4</v>
      </c>
      <c r="E15" s="64">
        <v>5</v>
      </c>
      <c r="F15" s="64">
        <v>6</v>
      </c>
      <c r="G15" s="64">
        <v>7</v>
      </c>
      <c r="H15" s="64">
        <v>8</v>
      </c>
      <c r="I15" s="64">
        <v>9</v>
      </c>
      <c r="J15" s="64">
        <v>10</v>
      </c>
      <c r="K15" s="64">
        <v>11</v>
      </c>
      <c r="L15" s="64">
        <v>12</v>
      </c>
      <c r="M15" s="64">
        <v>13</v>
      </c>
      <c r="N15" s="64">
        <v>14</v>
      </c>
      <c r="O15" s="64">
        <v>15</v>
      </c>
      <c r="P15" s="64">
        <v>16</v>
      </c>
      <c r="Q15" s="84"/>
    </row>
    <row r="16" spans="1:19" ht="19.5" customHeight="1">
      <c r="A16" s="65"/>
      <c r="B16" s="66"/>
      <c r="C16" s="66"/>
      <c r="D16" s="67"/>
      <c r="E16" s="68"/>
      <c r="F16" s="68"/>
      <c r="G16" s="68"/>
      <c r="H16" s="68"/>
      <c r="I16" s="68"/>
      <c r="J16" s="68"/>
      <c r="K16" s="68"/>
      <c r="L16" s="68"/>
      <c r="M16" s="68"/>
      <c r="N16" s="68"/>
      <c r="O16" s="68"/>
      <c r="P16" s="68"/>
      <c r="Q16" s="85"/>
      <c r="S16" s="83"/>
    </row>
    <row r="17" spans="1:19" ht="19.5" customHeight="1" hidden="1">
      <c r="A17" s="65"/>
      <c r="B17" s="65"/>
      <c r="C17" s="65"/>
      <c r="D17" s="69"/>
      <c r="E17" s="70"/>
      <c r="F17" s="70"/>
      <c r="G17" s="70"/>
      <c r="H17" s="68"/>
      <c r="I17" s="70"/>
      <c r="J17" s="70"/>
      <c r="K17" s="70"/>
      <c r="L17" s="73"/>
      <c r="M17" s="82"/>
      <c r="N17" s="82"/>
      <c r="O17" s="82"/>
      <c r="P17" s="82"/>
      <c r="Q17" s="85"/>
      <c r="S17" s="83"/>
    </row>
    <row r="18" spans="1:19" ht="19.5" customHeight="1" hidden="1">
      <c r="A18" s="65"/>
      <c r="B18" s="65"/>
      <c r="C18" s="65"/>
      <c r="D18" s="69"/>
      <c r="E18" s="70"/>
      <c r="F18" s="70"/>
      <c r="G18" s="70"/>
      <c r="H18" s="68"/>
      <c r="I18" s="70"/>
      <c r="J18" s="70"/>
      <c r="K18" s="70"/>
      <c r="L18" s="73"/>
      <c r="M18" s="82"/>
      <c r="N18" s="82"/>
      <c r="O18" s="82"/>
      <c r="P18" s="82"/>
      <c r="Q18" s="85"/>
      <c r="S18" s="83"/>
    </row>
    <row r="19" spans="1:17" s="62" customFormat="1" ht="19.5" customHeight="1" hidden="1">
      <c r="A19" s="65"/>
      <c r="B19" s="66"/>
      <c r="C19" s="66"/>
      <c r="D19" s="71"/>
      <c r="E19" s="68"/>
      <c r="F19" s="68"/>
      <c r="G19" s="68"/>
      <c r="H19" s="68"/>
      <c r="I19" s="68"/>
      <c r="J19" s="68"/>
      <c r="K19" s="68"/>
      <c r="L19" s="68"/>
      <c r="M19" s="68"/>
      <c r="N19" s="68"/>
      <c r="O19" s="68"/>
      <c r="P19" s="68"/>
      <c r="Q19" s="86"/>
    </row>
    <row r="20" spans="1:17" ht="19.5" customHeight="1" hidden="1">
      <c r="A20" s="65"/>
      <c r="B20" s="65"/>
      <c r="C20" s="65"/>
      <c r="D20" s="72"/>
      <c r="E20" s="73"/>
      <c r="F20" s="73"/>
      <c r="G20" s="73"/>
      <c r="H20" s="73"/>
      <c r="I20" s="73"/>
      <c r="J20" s="73"/>
      <c r="K20" s="73"/>
      <c r="L20" s="73"/>
      <c r="M20" s="68"/>
      <c r="N20" s="68"/>
      <c r="O20" s="68"/>
      <c r="P20" s="68"/>
      <c r="Q20" s="85"/>
    </row>
    <row r="21" spans="1:17" ht="19.5" customHeight="1" hidden="1">
      <c r="A21" s="65"/>
      <c r="B21" s="65"/>
      <c r="C21" s="65"/>
      <c r="D21" s="72"/>
      <c r="E21" s="70"/>
      <c r="F21" s="73"/>
      <c r="G21" s="73"/>
      <c r="H21" s="73"/>
      <c r="I21" s="73"/>
      <c r="J21" s="73"/>
      <c r="K21" s="73"/>
      <c r="L21" s="73"/>
      <c r="M21" s="68"/>
      <c r="N21" s="68"/>
      <c r="O21" s="68"/>
      <c r="P21" s="68"/>
      <c r="Q21" s="85"/>
    </row>
    <row r="22" spans="1:17" ht="19.5" customHeight="1" hidden="1">
      <c r="A22" s="65"/>
      <c r="B22" s="65"/>
      <c r="C22" s="65"/>
      <c r="D22" s="72"/>
      <c r="E22" s="73"/>
      <c r="F22" s="73"/>
      <c r="G22" s="73"/>
      <c r="H22" s="73"/>
      <c r="I22" s="73"/>
      <c r="J22" s="73"/>
      <c r="K22" s="73"/>
      <c r="L22" s="73"/>
      <c r="M22" s="68"/>
      <c r="N22" s="68"/>
      <c r="O22" s="68"/>
      <c r="P22" s="68"/>
      <c r="Q22" s="85"/>
    </row>
    <row r="23" spans="1:16" s="63" customFormat="1" ht="20.25" customHeight="1">
      <c r="A23" s="74" t="s">
        <v>128</v>
      </c>
      <c r="B23" s="74" t="s">
        <v>128</v>
      </c>
      <c r="C23" s="74" t="s">
        <v>128</v>
      </c>
      <c r="D23" s="75" t="s">
        <v>319</v>
      </c>
      <c r="E23" s="68">
        <v>0</v>
      </c>
      <c r="F23" s="68">
        <f aca="true" t="shared" si="0" ref="F23:P23">F19+F16</f>
        <v>0</v>
      </c>
      <c r="G23" s="68">
        <f t="shared" si="0"/>
        <v>0</v>
      </c>
      <c r="H23" s="68">
        <f t="shared" si="0"/>
        <v>0</v>
      </c>
      <c r="I23" s="68">
        <f t="shared" si="0"/>
        <v>0</v>
      </c>
      <c r="J23" s="68">
        <f t="shared" si="0"/>
        <v>0</v>
      </c>
      <c r="K23" s="68">
        <f t="shared" si="0"/>
        <v>0</v>
      </c>
      <c r="L23" s="68">
        <f t="shared" si="0"/>
        <v>0</v>
      </c>
      <c r="M23" s="68">
        <f t="shared" si="0"/>
        <v>0</v>
      </c>
      <c r="N23" s="68">
        <f t="shared" si="0"/>
        <v>0</v>
      </c>
      <c r="O23" s="68">
        <f t="shared" si="0"/>
        <v>0</v>
      </c>
      <c r="P23" s="68">
        <f t="shared" si="0"/>
        <v>0</v>
      </c>
    </row>
    <row r="25" spans="4:12" ht="17.25">
      <c r="D25" s="76" t="s">
        <v>329</v>
      </c>
      <c r="E25" s="77"/>
      <c r="F25" s="77"/>
      <c r="G25" s="77"/>
      <c r="H25" s="77"/>
      <c r="I25" s="76"/>
      <c r="J25" s="76"/>
      <c r="K25" s="76"/>
      <c r="L25" s="76"/>
    </row>
    <row r="26" spans="5:16" ht="12.75">
      <c r="E26" s="78"/>
      <c r="F26" s="79"/>
      <c r="G26" s="79"/>
      <c r="H26" s="79"/>
      <c r="I26" s="83"/>
      <c r="J26" s="83"/>
      <c r="K26" s="83"/>
      <c r="L26" s="83"/>
      <c r="M26" s="83"/>
      <c r="N26" s="83"/>
      <c r="O26" s="83"/>
      <c r="P26" s="83"/>
    </row>
    <row r="27" spans="3:11" ht="23.25" customHeight="1">
      <c r="C27" s="466" t="str">
        <f>додаток1!A132</f>
        <v>Секретар міської ради                                                                        Наталія  ІВАНЮТА</v>
      </c>
      <c r="D27" s="466"/>
      <c r="E27" s="466"/>
      <c r="F27" s="466"/>
      <c r="G27" s="466"/>
      <c r="H27" s="466"/>
      <c r="I27" s="466"/>
      <c r="J27" s="466"/>
      <c r="K27" s="466"/>
    </row>
    <row r="28" spans="5:8" ht="12.75">
      <c r="E28" s="78"/>
      <c r="F28" s="78"/>
      <c r="G28" s="78"/>
      <c r="H28" s="78"/>
    </row>
    <row r="29" spans="5:8" ht="12.75">
      <c r="E29" s="78"/>
      <c r="F29" s="78"/>
      <c r="G29" s="78"/>
      <c r="H29" s="78"/>
    </row>
    <row r="55" ht="12.75">
      <c r="G55" s="80"/>
    </row>
  </sheetData>
  <sheetProtection/>
  <mergeCells count="31">
    <mergeCell ref="C27:K27"/>
    <mergeCell ref="G13:G14"/>
    <mergeCell ref="H12:H14"/>
    <mergeCell ref="I12:I14"/>
    <mergeCell ref="K13:K14"/>
    <mergeCell ref="L12:L14"/>
    <mergeCell ref="A11:A14"/>
    <mergeCell ref="B11:B14"/>
    <mergeCell ref="C11:C14"/>
    <mergeCell ref="D11:D14"/>
    <mergeCell ref="E11:H11"/>
    <mergeCell ref="I11:L11"/>
    <mergeCell ref="E12:E14"/>
    <mergeCell ref="M11:P11"/>
    <mergeCell ref="F12:G12"/>
    <mergeCell ref="J12:K12"/>
    <mergeCell ref="N12:O12"/>
    <mergeCell ref="P12:P14"/>
    <mergeCell ref="J13:J14"/>
    <mergeCell ref="F13:F14"/>
    <mergeCell ref="O13:O14"/>
    <mergeCell ref="M12:M14"/>
    <mergeCell ref="N13:N14"/>
    <mergeCell ref="L5:P5"/>
    <mergeCell ref="A6:P6"/>
    <mergeCell ref="A8:B8"/>
    <mergeCell ref="A9:B9"/>
    <mergeCell ref="L1:P1"/>
    <mergeCell ref="L2:P2"/>
    <mergeCell ref="L3:P3"/>
    <mergeCell ref="L4:P4"/>
  </mergeCells>
  <printOptions/>
  <pageMargins left="0.51" right="0.27" top="0.65" bottom="0.23999999999999996" header="0" footer="0"/>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IV102"/>
  <sheetViews>
    <sheetView workbookViewId="0" topLeftCell="A72">
      <selection activeCell="F59" sqref="F59"/>
    </sheetView>
  </sheetViews>
  <sheetFormatPr defaultColWidth="10.625" defaultRowHeight="12.75"/>
  <cols>
    <col min="1" max="1" width="19.75390625" style="320" customWidth="1"/>
    <col min="2" max="2" width="22.25390625" style="321" customWidth="1"/>
    <col min="3" max="3" width="16.625" style="321" customWidth="1"/>
    <col min="4" max="4" width="17.625" style="321" customWidth="1"/>
    <col min="5" max="5" width="34.875" style="321" customWidth="1"/>
    <col min="6" max="6" width="18.125" style="321" customWidth="1"/>
    <col min="7" max="7" width="18.75390625" style="321" customWidth="1"/>
    <col min="8" max="8" width="9.125" style="321" bestFit="1" customWidth="1"/>
    <col min="9" max="255" width="9.125" style="321" customWidth="1"/>
    <col min="256" max="16384" width="10.625" style="321" customWidth="1"/>
  </cols>
  <sheetData>
    <row r="1" spans="4:6" ht="15">
      <c r="D1" s="322"/>
      <c r="E1" s="532" t="s">
        <v>330</v>
      </c>
      <c r="F1" s="532"/>
    </row>
    <row r="2" spans="4:6" ht="15">
      <c r="D2" s="322"/>
      <c r="E2" s="532" t="str">
        <f>додаток1!D2</f>
        <v>до рішення сімнадцятої сесії Тетіївської міської ради</v>
      </c>
      <c r="F2" s="532"/>
    </row>
    <row r="3" spans="4:6" ht="31.5" customHeight="1">
      <c r="D3" s="323"/>
      <c r="E3" s="521" t="str">
        <f>додаток1!D3</f>
        <v>"Про бюджет Тетіївської міської територіальної громади на 2023 рік" від 20.12.2022 № 772-17-VIII</v>
      </c>
      <c r="F3" s="521"/>
    </row>
    <row r="4" spans="4:8" ht="28.5" customHeight="1">
      <c r="D4" s="362"/>
      <c r="E4" s="521" t="str">
        <f>додаток1!D4</f>
        <v>(в редакції рішення двадцять третьої сесії Тетіївської міської ради від 26.10.2023 № 1037-23-VIII)</v>
      </c>
      <c r="F4" s="522"/>
      <c r="G4" s="324"/>
      <c r="H4" s="324"/>
    </row>
    <row r="5" spans="3:8" ht="15">
      <c r="C5" s="533"/>
      <c r="D5" s="533"/>
      <c r="E5" s="533"/>
      <c r="F5" s="533"/>
      <c r="G5" s="324"/>
      <c r="H5" s="324"/>
    </row>
    <row r="6" spans="1:6" s="326" customFormat="1" ht="24" customHeight="1">
      <c r="A6" s="520" t="s">
        <v>543</v>
      </c>
      <c r="B6" s="520"/>
      <c r="C6" s="520"/>
      <c r="D6" s="520"/>
      <c r="E6" s="520"/>
      <c r="F6" s="520"/>
    </row>
    <row r="7" spans="1:6" s="326" customFormat="1" ht="15.75" customHeight="1">
      <c r="A7" s="327">
        <f>додаток1!A8</f>
        <v>1050800000</v>
      </c>
      <c r="B7" s="325"/>
      <c r="C7" s="325"/>
      <c r="D7" s="328"/>
      <c r="E7" s="328"/>
      <c r="F7" s="328"/>
    </row>
    <row r="8" spans="1:6" s="326" customFormat="1" ht="15.75" customHeight="1">
      <c r="A8" s="329" t="s">
        <v>13</v>
      </c>
      <c r="B8" s="325"/>
      <c r="C8" s="325"/>
      <c r="D8" s="328"/>
      <c r="E8" s="328"/>
      <c r="F8" s="328"/>
    </row>
    <row r="9" spans="1:6" s="326" customFormat="1" ht="15.75" customHeight="1">
      <c r="A9" s="329"/>
      <c r="B9" s="325"/>
      <c r="C9" s="325"/>
      <c r="D9" s="328"/>
      <c r="E9" s="328"/>
      <c r="F9" s="328"/>
    </row>
    <row r="10" spans="1:6" s="326" customFormat="1" ht="15.75" customHeight="1">
      <c r="A10" s="523" t="s">
        <v>331</v>
      </c>
      <c r="B10" s="523"/>
      <c r="C10" s="523"/>
      <c r="D10" s="523"/>
      <c r="E10" s="523"/>
      <c r="F10" s="523"/>
    </row>
    <row r="11" spans="1:6" s="331" customFormat="1" ht="15.75" customHeight="1">
      <c r="A11" s="330"/>
      <c r="F11" s="332" t="s">
        <v>14</v>
      </c>
    </row>
    <row r="12" spans="1:6" s="136" customFormat="1" ht="33.75" customHeight="1">
      <c r="A12" s="527" t="s">
        <v>332</v>
      </c>
      <c r="B12" s="531" t="s">
        <v>333</v>
      </c>
      <c r="C12" s="531"/>
      <c r="D12" s="531"/>
      <c r="E12" s="531"/>
      <c r="F12" s="529" t="s">
        <v>17</v>
      </c>
    </row>
    <row r="13" spans="1:6" s="137" customFormat="1" ht="15.75" customHeight="1">
      <c r="A13" s="528"/>
      <c r="B13" s="531"/>
      <c r="C13" s="531"/>
      <c r="D13" s="531"/>
      <c r="E13" s="531"/>
      <c r="F13" s="530"/>
    </row>
    <row r="14" spans="1:6" s="334" customFormat="1" ht="15.75" customHeight="1">
      <c r="A14" s="333">
        <v>1</v>
      </c>
      <c r="B14" s="524">
        <v>2</v>
      </c>
      <c r="C14" s="525"/>
      <c r="D14" s="525"/>
      <c r="E14" s="526"/>
      <c r="F14" s="333">
        <v>3</v>
      </c>
    </row>
    <row r="15" spans="1:6" s="335" customFormat="1" ht="15.75" customHeight="1">
      <c r="A15" s="511" t="s">
        <v>334</v>
      </c>
      <c r="B15" s="512"/>
      <c r="C15" s="512"/>
      <c r="D15" s="512"/>
      <c r="E15" s="512"/>
      <c r="F15" s="513"/>
    </row>
    <row r="16" spans="1:6" s="127" customFormat="1" ht="21" customHeight="1">
      <c r="A16" s="336">
        <f>додаток1!A106</f>
        <v>41020100</v>
      </c>
      <c r="B16" s="514" t="str">
        <f>додаток1!B106</f>
        <v>Базова дотація</v>
      </c>
      <c r="C16" s="515"/>
      <c r="D16" s="515"/>
      <c r="E16" s="516"/>
      <c r="F16" s="126">
        <f>F17</f>
        <v>37253500</v>
      </c>
    </row>
    <row r="17" spans="1:6" s="331" customFormat="1" ht="21" customHeight="1">
      <c r="A17" s="337">
        <v>99000000000</v>
      </c>
      <c r="B17" s="517" t="s">
        <v>335</v>
      </c>
      <c r="C17" s="518"/>
      <c r="D17" s="518"/>
      <c r="E17" s="519"/>
      <c r="F17" s="338">
        <f>додаток1!D106</f>
        <v>37253500</v>
      </c>
    </row>
    <row r="18" spans="1:6" s="127" customFormat="1" ht="66.75" customHeight="1">
      <c r="A18" s="336">
        <f>додаток1!A107</f>
        <v>41021400</v>
      </c>
      <c r="B18" s="514" t="str">
        <f>додаток1!B107</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515"/>
      <c r="D18" s="515"/>
      <c r="E18" s="516"/>
      <c r="F18" s="126">
        <f>F19</f>
        <v>10197000</v>
      </c>
    </row>
    <row r="19" spans="1:6" s="331" customFormat="1" ht="21" customHeight="1">
      <c r="A19" s="337">
        <v>99000000000</v>
      </c>
      <c r="B19" s="517" t="s">
        <v>335</v>
      </c>
      <c r="C19" s="518"/>
      <c r="D19" s="518"/>
      <c r="E19" s="519"/>
      <c r="F19" s="338">
        <f>додаток1!D107</f>
        <v>10197000</v>
      </c>
    </row>
    <row r="20" spans="1:6" s="127" customFormat="1" ht="20.25" customHeight="1">
      <c r="A20" s="336">
        <f>додаток1!A110</f>
        <v>41033900</v>
      </c>
      <c r="B20" s="514" t="str">
        <f>додаток1!B110</f>
        <v>Освітня субвенція з державного бюджету місцевим бюджетам</v>
      </c>
      <c r="C20" s="515"/>
      <c r="D20" s="515"/>
      <c r="E20" s="516"/>
      <c r="F20" s="126">
        <f>F21</f>
        <v>89254700</v>
      </c>
    </row>
    <row r="21" spans="1:6" s="331" customFormat="1" ht="21" customHeight="1">
      <c r="A21" s="337">
        <v>99000000000</v>
      </c>
      <c r="B21" s="517" t="s">
        <v>335</v>
      </c>
      <c r="C21" s="518"/>
      <c r="D21" s="518"/>
      <c r="E21" s="519"/>
      <c r="F21" s="338">
        <f>додаток1!D110</f>
        <v>89254700</v>
      </c>
    </row>
    <row r="22" spans="1:6" s="331" customFormat="1" ht="46.5" customHeight="1" hidden="1">
      <c r="A22" s="336">
        <f>додаток1!A111</f>
        <v>41034500</v>
      </c>
      <c r="B22" s="514" t="str">
        <f>додаток1!B111</f>
        <v>Субвенція з державного бюджету місцевим бюджетам на здійснення заходів щодо соціально-економічного розвитку окремих територій</v>
      </c>
      <c r="C22" s="515"/>
      <c r="D22" s="515"/>
      <c r="E22" s="516"/>
      <c r="F22" s="126">
        <f>F23</f>
        <v>0</v>
      </c>
    </row>
    <row r="23" spans="1:6" s="331" customFormat="1" ht="24" customHeight="1" hidden="1">
      <c r="A23" s="337">
        <v>99000000000</v>
      </c>
      <c r="B23" s="517" t="s">
        <v>335</v>
      </c>
      <c r="C23" s="518"/>
      <c r="D23" s="518"/>
      <c r="E23" s="519"/>
      <c r="F23" s="338">
        <f>додаток1!D111</f>
        <v>0</v>
      </c>
    </row>
    <row r="24" spans="1:6" s="331" customFormat="1" ht="33.75" customHeight="1" hidden="1">
      <c r="A24" s="336">
        <f>додаток1!A112</f>
        <v>41035200</v>
      </c>
      <c r="B24" s="514" t="str">
        <f>додаток1!B112</f>
        <v>Субвенція з державного бюджету місцевим бюджетам на розвиток мережі центрів надання адміністративних послуг</v>
      </c>
      <c r="C24" s="515"/>
      <c r="D24" s="515"/>
      <c r="E24" s="516"/>
      <c r="F24" s="126">
        <f>F25</f>
        <v>0</v>
      </c>
    </row>
    <row r="25" spans="1:6" s="331" customFormat="1" ht="24" customHeight="1" hidden="1">
      <c r="A25" s="337">
        <v>99000000000</v>
      </c>
      <c r="B25" s="517" t="s">
        <v>335</v>
      </c>
      <c r="C25" s="518"/>
      <c r="D25" s="518"/>
      <c r="E25" s="519"/>
      <c r="F25" s="338">
        <f>додаток1!D112</f>
        <v>0</v>
      </c>
    </row>
    <row r="26" spans="1:6" s="331" customFormat="1" ht="48" customHeight="1" hidden="1">
      <c r="A26" s="336">
        <f>додаток1!A113</f>
        <v>41035500</v>
      </c>
      <c r="B26" s="514" t="str">
        <f>додаток1!B113</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515"/>
      <c r="D26" s="515"/>
      <c r="E26" s="516"/>
      <c r="F26" s="126">
        <f>F27</f>
        <v>0</v>
      </c>
    </row>
    <row r="27" spans="1:6" s="331" customFormat="1" ht="24" customHeight="1" hidden="1">
      <c r="A27" s="337">
        <v>99000000000</v>
      </c>
      <c r="B27" s="517" t="s">
        <v>335</v>
      </c>
      <c r="C27" s="518"/>
      <c r="D27" s="518"/>
      <c r="E27" s="519"/>
      <c r="F27" s="338">
        <f>додаток1!D113</f>
        <v>0</v>
      </c>
    </row>
    <row r="28" spans="1:256" s="127" customFormat="1" ht="49.5" customHeight="1">
      <c r="A28" s="336">
        <f>додаток1!A115</f>
        <v>41040200</v>
      </c>
      <c r="B28" s="514" t="str">
        <f>додаток1!B115</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515"/>
      <c r="D28" s="515"/>
      <c r="E28" s="516"/>
      <c r="F28" s="126">
        <f>F29</f>
        <v>1963300</v>
      </c>
      <c r="IV28" s="127">
        <f>SUM(A28:IU28)</f>
        <v>43003500</v>
      </c>
    </row>
    <row r="29" spans="1:6" s="331" customFormat="1" ht="20.25" customHeight="1">
      <c r="A29" s="337">
        <v>10100000000</v>
      </c>
      <c r="B29" s="517" t="s">
        <v>336</v>
      </c>
      <c r="C29" s="518"/>
      <c r="D29" s="518"/>
      <c r="E29" s="519"/>
      <c r="F29" s="338">
        <f>додаток1!D115</f>
        <v>1963300</v>
      </c>
    </row>
    <row r="30" spans="1:6" s="127" customFormat="1" ht="25.5" customHeight="1" hidden="1">
      <c r="A30" s="336">
        <f>додаток1!A116</f>
        <v>41040400</v>
      </c>
      <c r="B30" s="514" t="str">
        <f>додаток1!B116</f>
        <v>Інші дотації з місцевого бюджету</v>
      </c>
      <c r="C30" s="534"/>
      <c r="D30" s="534"/>
      <c r="E30" s="535"/>
      <c r="F30" s="126">
        <f>F31</f>
        <v>0</v>
      </c>
    </row>
    <row r="31" spans="1:6" s="331" customFormat="1" ht="25.5" customHeight="1" hidden="1">
      <c r="A31" s="337">
        <v>10100000000</v>
      </c>
      <c r="B31" s="517" t="s">
        <v>336</v>
      </c>
      <c r="C31" s="518"/>
      <c r="D31" s="518"/>
      <c r="E31" s="519"/>
      <c r="F31" s="338">
        <f>додаток1!D116</f>
        <v>0</v>
      </c>
    </row>
    <row r="32" spans="1:6" s="331" customFormat="1" ht="72.75" customHeight="1" hidden="1">
      <c r="A32" s="336">
        <f>додаток1!A117</f>
        <v>41040500</v>
      </c>
      <c r="B32" s="514" t="str">
        <f>додаток1!B117</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515"/>
      <c r="D32" s="515"/>
      <c r="E32" s="516"/>
      <c r="F32" s="126">
        <f>F33</f>
        <v>0</v>
      </c>
    </row>
    <row r="33" spans="1:6" s="331" customFormat="1" ht="25.5" customHeight="1" hidden="1">
      <c r="A33" s="337">
        <v>10100000000</v>
      </c>
      <c r="B33" s="517" t="s">
        <v>336</v>
      </c>
      <c r="C33" s="518"/>
      <c r="D33" s="518"/>
      <c r="E33" s="519"/>
      <c r="F33" s="338">
        <f>додаток1!D117</f>
        <v>0</v>
      </c>
    </row>
    <row r="34" spans="1:6" s="331" customFormat="1" ht="168" customHeight="1">
      <c r="A34" s="336">
        <f>додаток1!A119</f>
        <v>41050400</v>
      </c>
      <c r="B34" s="536" t="str">
        <f>додаток1!B119</f>
        <v>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C34" s="537"/>
      <c r="D34" s="537"/>
      <c r="E34" s="538"/>
      <c r="F34" s="126">
        <f>F35</f>
        <v>8361663.359999999</v>
      </c>
    </row>
    <row r="35" spans="1:6" s="331" customFormat="1" ht="25.5" customHeight="1">
      <c r="A35" s="337">
        <v>10100000000</v>
      </c>
      <c r="B35" s="517" t="s">
        <v>336</v>
      </c>
      <c r="C35" s="518"/>
      <c r="D35" s="518"/>
      <c r="E35" s="519"/>
      <c r="F35" s="338">
        <f>додаток1!D119</f>
        <v>8361663.359999999</v>
      </c>
    </row>
    <row r="36" spans="1:6" s="127" customFormat="1" ht="33.75" customHeight="1">
      <c r="A36" s="336">
        <f>додаток1!A120</f>
        <v>41051000</v>
      </c>
      <c r="B36" s="514" t="str">
        <f>додаток1!B120</f>
        <v>Субвенція з місцевого бюджету на здійснення переданих видатків у сфері освіти за рахунок коштів освітньої субвенції</v>
      </c>
      <c r="C36" s="515"/>
      <c r="D36" s="515"/>
      <c r="E36" s="516"/>
      <c r="F36" s="126">
        <f>F37</f>
        <v>2950560</v>
      </c>
    </row>
    <row r="37" spans="1:6" s="331" customFormat="1" ht="17.25" customHeight="1">
      <c r="A37" s="337">
        <v>10100000000</v>
      </c>
      <c r="B37" s="517" t="s">
        <v>336</v>
      </c>
      <c r="C37" s="518"/>
      <c r="D37" s="518"/>
      <c r="E37" s="519"/>
      <c r="F37" s="338">
        <f>додаток1!D120</f>
        <v>2950560</v>
      </c>
    </row>
    <row r="38" spans="1:6" s="127" customFormat="1" ht="36.75" customHeight="1">
      <c r="A38" s="336">
        <f>додаток1!A121</f>
        <v>41051200</v>
      </c>
      <c r="B38" s="514" t="str">
        <f>додаток1!B121</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8" s="515"/>
      <c r="D38" s="515"/>
      <c r="E38" s="516"/>
      <c r="F38" s="126">
        <f>F39</f>
        <v>594526</v>
      </c>
    </row>
    <row r="39" spans="1:6" s="331" customFormat="1" ht="20.25" customHeight="1">
      <c r="A39" s="337">
        <v>10100000000</v>
      </c>
      <c r="B39" s="517" t="s">
        <v>336</v>
      </c>
      <c r="C39" s="518"/>
      <c r="D39" s="518"/>
      <c r="E39" s="519"/>
      <c r="F39" s="338">
        <f>додаток1!D121</f>
        <v>594526</v>
      </c>
    </row>
    <row r="40" spans="1:6" s="127" customFormat="1" ht="170.25" customHeight="1" hidden="1">
      <c r="A40" s="336"/>
      <c r="B40" s="536"/>
      <c r="C40" s="541"/>
      <c r="D40" s="541"/>
      <c r="E40" s="542"/>
      <c r="F40" s="126"/>
    </row>
    <row r="41" spans="1:6" s="331" customFormat="1" ht="20.25" customHeight="1" hidden="1">
      <c r="A41" s="337">
        <v>10100000000</v>
      </c>
      <c r="B41" s="517" t="s">
        <v>336</v>
      </c>
      <c r="C41" s="518"/>
      <c r="D41" s="518"/>
      <c r="E41" s="519"/>
      <c r="F41" s="338"/>
    </row>
    <row r="42" spans="1:6" s="331" customFormat="1" ht="51" customHeight="1" hidden="1">
      <c r="A42" s="336">
        <f>додаток1!A122</f>
        <v>41051400</v>
      </c>
      <c r="B42" s="514" t="str">
        <f>додаток1!B122</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42" s="515"/>
      <c r="D42" s="515"/>
      <c r="E42" s="516"/>
      <c r="F42" s="126">
        <f>F43</f>
        <v>0</v>
      </c>
    </row>
    <row r="43" spans="1:6" s="331" customFormat="1" ht="24.75" customHeight="1" hidden="1">
      <c r="A43" s="337">
        <v>10100000000</v>
      </c>
      <c r="B43" s="517" t="s">
        <v>336</v>
      </c>
      <c r="C43" s="518"/>
      <c r="D43" s="518"/>
      <c r="E43" s="519"/>
      <c r="F43" s="338">
        <f>додаток1!D122</f>
        <v>0</v>
      </c>
    </row>
    <row r="44" spans="1:6" s="331" customFormat="1" ht="57.75" customHeight="1">
      <c r="A44" s="336">
        <f>додаток1!A124</f>
        <v>41051700</v>
      </c>
      <c r="B44" s="514" t="str">
        <f>додаток1!B124</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4" s="515"/>
      <c r="D44" s="515"/>
      <c r="E44" s="516"/>
      <c r="F44" s="126">
        <f>F45</f>
        <v>111826</v>
      </c>
    </row>
    <row r="45" spans="1:6" s="331" customFormat="1" ht="24.75" customHeight="1">
      <c r="A45" s="337">
        <v>10100000000</v>
      </c>
      <c r="B45" s="517" t="s">
        <v>336</v>
      </c>
      <c r="C45" s="518"/>
      <c r="D45" s="518"/>
      <c r="E45" s="519"/>
      <c r="F45" s="338">
        <f>додаток1!D124</f>
        <v>111826</v>
      </c>
    </row>
    <row r="46" spans="1:6" s="127" customFormat="1" ht="19.5" customHeight="1" hidden="1">
      <c r="A46" s="125">
        <v>41053900</v>
      </c>
      <c r="B46" s="514" t="s">
        <v>115</v>
      </c>
      <c r="C46" s="515"/>
      <c r="D46" s="515"/>
      <c r="E46" s="516"/>
      <c r="F46" s="126">
        <f>F47</f>
        <v>0</v>
      </c>
    </row>
    <row r="47" spans="1:6" s="331" customFormat="1" ht="20.25" customHeight="1" hidden="1">
      <c r="A47" s="337">
        <v>10100000000</v>
      </c>
      <c r="B47" s="517" t="s">
        <v>336</v>
      </c>
      <c r="C47" s="518"/>
      <c r="D47" s="518"/>
      <c r="E47" s="519"/>
      <c r="F47" s="338">
        <f>додаток1!D125</f>
        <v>0</v>
      </c>
    </row>
    <row r="48" spans="1:6" s="127" customFormat="1" ht="46.5" customHeight="1">
      <c r="A48" s="125">
        <f>додаток1!A129</f>
        <v>41057700</v>
      </c>
      <c r="B48" s="514" t="str">
        <f>додаток1!B129</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8" s="539"/>
      <c r="D48" s="539"/>
      <c r="E48" s="540"/>
      <c r="F48" s="126">
        <f>F49</f>
        <v>58862.110000000015</v>
      </c>
    </row>
    <row r="49" spans="1:6" s="331" customFormat="1" ht="20.25" customHeight="1">
      <c r="A49" s="337">
        <v>10100000000</v>
      </c>
      <c r="B49" s="517" t="s">
        <v>336</v>
      </c>
      <c r="C49" s="518"/>
      <c r="D49" s="518"/>
      <c r="E49" s="519"/>
      <c r="F49" s="338">
        <f>додаток1!D129</f>
        <v>58862.110000000015</v>
      </c>
    </row>
    <row r="50" spans="1:6" s="331" customFormat="1" ht="24" customHeight="1">
      <c r="A50" s="511" t="s">
        <v>337</v>
      </c>
      <c r="B50" s="512"/>
      <c r="C50" s="512"/>
      <c r="D50" s="512"/>
      <c r="E50" s="512"/>
      <c r="F50" s="513"/>
    </row>
    <row r="51" spans="1:6" s="127" customFormat="1" ht="38.25" customHeight="1">
      <c r="A51" s="336">
        <f>додаток1!A109</f>
        <v>41033100</v>
      </c>
      <c r="B51" s="514" t="str">
        <f>додаток1!B109</f>
        <v>Субвенція з державного бюджету місцевим бюджетам на реалізацію проектів в рамках Програми з відновлення України</v>
      </c>
      <c r="C51" s="515"/>
      <c r="D51" s="515"/>
      <c r="E51" s="516"/>
      <c r="F51" s="126">
        <f>F52</f>
        <v>50000000</v>
      </c>
    </row>
    <row r="52" spans="1:6" s="331" customFormat="1" ht="19.5" customHeight="1">
      <c r="A52" s="337">
        <v>99000000000</v>
      </c>
      <c r="B52" s="517" t="s">
        <v>335</v>
      </c>
      <c r="C52" s="518"/>
      <c r="D52" s="518"/>
      <c r="E52" s="519"/>
      <c r="F52" s="338">
        <f>додаток1!C109</f>
        <v>50000000</v>
      </c>
    </row>
    <row r="53" spans="1:6" s="127" customFormat="1" ht="30.75" customHeight="1">
      <c r="A53" s="336">
        <f>додаток1!A120</f>
        <v>41051000</v>
      </c>
      <c r="B53" s="514" t="str">
        <f>додаток1!B120</f>
        <v>Субвенція з місцевого бюджету на здійснення переданих видатків у сфері освіти за рахунок коштів освітньої субвенції</v>
      </c>
      <c r="C53" s="515"/>
      <c r="D53" s="515"/>
      <c r="E53" s="516"/>
      <c r="F53" s="126">
        <f>F54</f>
        <v>289959</v>
      </c>
    </row>
    <row r="54" spans="1:6" s="331" customFormat="1" ht="19.5" customHeight="1">
      <c r="A54" s="337">
        <v>10100000000</v>
      </c>
      <c r="B54" s="517" t="s">
        <v>336</v>
      </c>
      <c r="C54" s="518"/>
      <c r="D54" s="518"/>
      <c r="E54" s="519"/>
      <c r="F54" s="338">
        <f>додаток1!E120</f>
        <v>289959</v>
      </c>
    </row>
    <row r="55" spans="1:6" s="331" customFormat="1" ht="19.5" customHeight="1" hidden="1">
      <c r="A55" s="337"/>
      <c r="B55" s="517"/>
      <c r="C55" s="518"/>
      <c r="D55" s="518"/>
      <c r="E55" s="519"/>
      <c r="F55" s="338"/>
    </row>
    <row r="56" spans="1:6" s="127" customFormat="1" ht="16.5" customHeight="1">
      <c r="A56" s="336" t="s">
        <v>128</v>
      </c>
      <c r="B56" s="514" t="s">
        <v>338</v>
      </c>
      <c r="C56" s="515"/>
      <c r="D56" s="515"/>
      <c r="E56" s="516"/>
      <c r="F56" s="126">
        <f>F57+F58</f>
        <v>201035896.47000003</v>
      </c>
    </row>
    <row r="57" spans="1:7" s="127" customFormat="1" ht="16.5" customHeight="1">
      <c r="A57" s="336" t="s">
        <v>128</v>
      </c>
      <c r="B57" s="514" t="s">
        <v>339</v>
      </c>
      <c r="C57" s="515"/>
      <c r="D57" s="515"/>
      <c r="E57" s="516"/>
      <c r="F57" s="126">
        <f>F16+F20+F22+F26+F28+F36+F38+F42+F44+F46+F48+F24+F32+F30+F18+F40+F34</f>
        <v>150745937.47000003</v>
      </c>
      <c r="G57" s="339">
        <f>F57-додаток1!D103</f>
        <v>0</v>
      </c>
    </row>
    <row r="58" spans="1:7" s="127" customFormat="1" ht="16.5" customHeight="1">
      <c r="A58" s="336" t="s">
        <v>128</v>
      </c>
      <c r="B58" s="514" t="s">
        <v>340</v>
      </c>
      <c r="C58" s="515"/>
      <c r="D58" s="515"/>
      <c r="E58" s="516"/>
      <c r="F58" s="126">
        <f>F52+F54</f>
        <v>50289959</v>
      </c>
      <c r="G58" s="339">
        <f>F58-додаток1!E103</f>
        <v>0</v>
      </c>
    </row>
    <row r="59" spans="1:6" s="331" customFormat="1" ht="15.75" customHeight="1">
      <c r="A59" s="330"/>
      <c r="F59" s="340">
        <f>F56-додаток1!C103</f>
        <v>0</v>
      </c>
    </row>
    <row r="60" spans="1:6" s="326" customFormat="1" ht="27.75" customHeight="1">
      <c r="A60" s="523" t="s">
        <v>341</v>
      </c>
      <c r="B60" s="523"/>
      <c r="C60" s="523"/>
      <c r="D60" s="523"/>
      <c r="E60" s="523"/>
      <c r="F60" s="523"/>
    </row>
    <row r="61" s="331" customFormat="1" ht="15">
      <c r="A61" s="330"/>
    </row>
    <row r="62" spans="1:6" s="344" customFormat="1" ht="71.25" customHeight="1">
      <c r="A62" s="341" t="s">
        <v>342</v>
      </c>
      <c r="B62" s="342" t="s">
        <v>159</v>
      </c>
      <c r="C62" s="543" t="s">
        <v>343</v>
      </c>
      <c r="D62" s="544"/>
      <c r="E62" s="545"/>
      <c r="F62" s="343" t="s">
        <v>17</v>
      </c>
    </row>
    <row r="63" spans="1:6" s="345" customFormat="1" ht="15">
      <c r="A63" s="336">
        <v>1</v>
      </c>
      <c r="B63" s="336">
        <v>2</v>
      </c>
      <c r="C63" s="547">
        <v>3</v>
      </c>
      <c r="D63" s="548"/>
      <c r="E63" s="549"/>
      <c r="F63" s="336">
        <v>4</v>
      </c>
    </row>
    <row r="64" spans="1:6" s="331" customFormat="1" ht="15">
      <c r="A64" s="511" t="s">
        <v>344</v>
      </c>
      <c r="B64" s="512"/>
      <c r="C64" s="512"/>
      <c r="D64" s="512"/>
      <c r="E64" s="512"/>
      <c r="F64" s="513"/>
    </row>
    <row r="65" spans="1:6" s="127" customFormat="1" ht="33.75" customHeight="1">
      <c r="A65" s="405" t="s">
        <v>451</v>
      </c>
      <c r="B65" s="346">
        <v>9800</v>
      </c>
      <c r="C65" s="508" t="s">
        <v>453</v>
      </c>
      <c r="D65" s="509"/>
      <c r="E65" s="510"/>
      <c r="F65" s="406">
        <f>F66</f>
        <v>170000</v>
      </c>
    </row>
    <row r="66" spans="1:6" s="331" customFormat="1" ht="15">
      <c r="A66" s="337">
        <v>99000000000</v>
      </c>
      <c r="B66" s="347"/>
      <c r="C66" s="502" t="s">
        <v>335</v>
      </c>
      <c r="D66" s="503"/>
      <c r="E66" s="504"/>
      <c r="F66" s="407">
        <f>SUM(F67:F69)</f>
        <v>170000</v>
      </c>
    </row>
    <row r="67" spans="1:6" s="331" customFormat="1" ht="15">
      <c r="A67" s="337"/>
      <c r="B67" s="347"/>
      <c r="C67" s="505" t="s">
        <v>483</v>
      </c>
      <c r="D67" s="506"/>
      <c r="E67" s="507"/>
      <c r="F67" s="409">
        <v>60000</v>
      </c>
    </row>
    <row r="68" spans="1:6" s="331" customFormat="1" ht="45" customHeight="1">
      <c r="A68" s="337"/>
      <c r="B68" s="347"/>
      <c r="C68" s="505" t="s">
        <v>530</v>
      </c>
      <c r="D68" s="506"/>
      <c r="E68" s="507"/>
      <c r="F68" s="409">
        <f>60000</f>
        <v>60000</v>
      </c>
    </row>
    <row r="69" spans="1:6" s="331" customFormat="1" ht="30" customHeight="1">
      <c r="A69" s="337"/>
      <c r="B69" s="347"/>
      <c r="C69" s="505" t="s">
        <v>484</v>
      </c>
      <c r="D69" s="506"/>
      <c r="E69" s="507"/>
      <c r="F69" s="409">
        <f>50000</f>
        <v>50000</v>
      </c>
    </row>
    <row r="70" spans="1:6" s="331" customFormat="1" ht="23.25" customHeight="1">
      <c r="A70" s="405" t="s">
        <v>72</v>
      </c>
      <c r="B70" s="346">
        <v>9150</v>
      </c>
      <c r="C70" s="508" t="s">
        <v>512</v>
      </c>
      <c r="D70" s="509"/>
      <c r="E70" s="510"/>
      <c r="F70" s="406">
        <f>F71</f>
        <v>50000</v>
      </c>
    </row>
    <row r="71" spans="1:6" s="331" customFormat="1" ht="19.5" customHeight="1">
      <c r="A71" s="337">
        <v>10100000000</v>
      </c>
      <c r="B71" s="347"/>
      <c r="C71" s="502" t="s">
        <v>336</v>
      </c>
      <c r="D71" s="503"/>
      <c r="E71" s="504"/>
      <c r="F71" s="407">
        <f>SUM(F72)</f>
        <v>50000</v>
      </c>
    </row>
    <row r="72" spans="1:6" s="331" customFormat="1" ht="108" customHeight="1">
      <c r="A72" s="419"/>
      <c r="B72" s="408"/>
      <c r="C72" s="505" t="s">
        <v>74</v>
      </c>
      <c r="D72" s="506"/>
      <c r="E72" s="507"/>
      <c r="F72" s="409">
        <v>50000</v>
      </c>
    </row>
    <row r="73" spans="1:6" s="331" customFormat="1" ht="18" customHeight="1">
      <c r="A73" s="405" t="s">
        <v>472</v>
      </c>
      <c r="B73" s="346">
        <v>9770</v>
      </c>
      <c r="C73" s="508" t="s">
        <v>474</v>
      </c>
      <c r="D73" s="509"/>
      <c r="E73" s="510"/>
      <c r="F73" s="406">
        <f>F74</f>
        <v>900000</v>
      </c>
    </row>
    <row r="74" spans="1:6" s="331" customFormat="1" ht="18.75" customHeight="1">
      <c r="A74" s="337">
        <v>10100000000</v>
      </c>
      <c r="B74" s="347"/>
      <c r="C74" s="502" t="s">
        <v>336</v>
      </c>
      <c r="D74" s="503"/>
      <c r="E74" s="504"/>
      <c r="F74" s="407">
        <f>SUM(F75)</f>
        <v>900000</v>
      </c>
    </row>
    <row r="75" spans="1:6" s="331" customFormat="1" ht="33" customHeight="1">
      <c r="A75" s="419"/>
      <c r="B75" s="408"/>
      <c r="C75" s="505" t="s">
        <v>86</v>
      </c>
      <c r="D75" s="506"/>
      <c r="E75" s="507"/>
      <c r="F75" s="409">
        <v>900000</v>
      </c>
    </row>
    <row r="76" spans="1:6" s="331" customFormat="1" ht="27.75" customHeight="1">
      <c r="A76" s="421"/>
      <c r="B76" s="422"/>
      <c r="C76" s="420"/>
      <c r="D76" s="420"/>
      <c r="E76" s="420"/>
      <c r="F76" s="423"/>
    </row>
    <row r="77" spans="1:6" s="331" customFormat="1" ht="15">
      <c r="A77" s="511" t="s">
        <v>345</v>
      </c>
      <c r="B77" s="512"/>
      <c r="C77" s="512"/>
      <c r="D77" s="512"/>
      <c r="E77" s="512"/>
      <c r="F77" s="513"/>
    </row>
    <row r="78" spans="1:6" s="331" customFormat="1" ht="34.5" customHeight="1">
      <c r="A78" s="405" t="s">
        <v>451</v>
      </c>
      <c r="B78" s="346">
        <v>9800</v>
      </c>
      <c r="C78" s="508" t="s">
        <v>453</v>
      </c>
      <c r="D78" s="509"/>
      <c r="E78" s="510"/>
      <c r="F78" s="406">
        <f>F79</f>
        <v>100000</v>
      </c>
    </row>
    <row r="79" spans="1:6" s="331" customFormat="1" ht="15">
      <c r="A79" s="337">
        <v>99000000000</v>
      </c>
      <c r="B79" s="347"/>
      <c r="C79" s="502" t="s">
        <v>335</v>
      </c>
      <c r="D79" s="503"/>
      <c r="E79" s="504"/>
      <c r="F79" s="407">
        <f>SUM(F80)</f>
        <v>100000</v>
      </c>
    </row>
    <row r="80" spans="1:6" s="331" customFormat="1" ht="51" customHeight="1">
      <c r="A80" s="337"/>
      <c r="B80" s="408"/>
      <c r="C80" s="505" t="s">
        <v>70</v>
      </c>
      <c r="D80" s="506"/>
      <c r="E80" s="507"/>
      <c r="F80" s="409">
        <f>100000</f>
        <v>100000</v>
      </c>
    </row>
    <row r="81" spans="1:6" s="331" customFormat="1" ht="15">
      <c r="A81" s="336" t="s">
        <v>128</v>
      </c>
      <c r="B81" s="514" t="s">
        <v>338</v>
      </c>
      <c r="C81" s="515"/>
      <c r="D81" s="515"/>
      <c r="E81" s="516"/>
      <c r="F81" s="126">
        <f>F82+F83</f>
        <v>1220000</v>
      </c>
    </row>
    <row r="82" spans="1:6" s="331" customFormat="1" ht="15">
      <c r="A82" s="336" t="s">
        <v>128</v>
      </c>
      <c r="B82" s="514" t="s">
        <v>339</v>
      </c>
      <c r="C82" s="515"/>
      <c r="D82" s="515"/>
      <c r="E82" s="516"/>
      <c r="F82" s="126">
        <f>F65+F73+F70</f>
        <v>1120000</v>
      </c>
    </row>
    <row r="83" spans="1:6" s="331" customFormat="1" ht="15">
      <c r="A83" s="336" t="s">
        <v>128</v>
      </c>
      <c r="B83" s="514" t="s">
        <v>340</v>
      </c>
      <c r="C83" s="515"/>
      <c r="D83" s="515"/>
      <c r="E83" s="516"/>
      <c r="F83" s="126">
        <f>F78</f>
        <v>100000</v>
      </c>
    </row>
    <row r="84" s="331" customFormat="1" ht="15">
      <c r="A84" s="330"/>
    </row>
    <row r="85" spans="1:6" s="127" customFormat="1" ht="15">
      <c r="A85" s="546" t="str">
        <f>додаток1!A132</f>
        <v>Секретар міської ради                                                                        Наталія  ІВАНЮТА</v>
      </c>
      <c r="B85" s="546"/>
      <c r="C85" s="546"/>
      <c r="D85" s="546"/>
      <c r="E85" s="546"/>
      <c r="F85" s="546"/>
    </row>
    <row r="86" s="331" customFormat="1" ht="15">
      <c r="A86" s="330"/>
    </row>
    <row r="87" s="331" customFormat="1" ht="15">
      <c r="A87" s="330"/>
    </row>
    <row r="88" s="331" customFormat="1" ht="15">
      <c r="A88" s="330"/>
    </row>
    <row r="89" s="331" customFormat="1" ht="15">
      <c r="A89" s="330"/>
    </row>
    <row r="90" s="331" customFormat="1" ht="15">
      <c r="A90" s="330"/>
    </row>
    <row r="91" s="331" customFormat="1" ht="15">
      <c r="A91" s="330"/>
    </row>
    <row r="92" s="331" customFormat="1" ht="15">
      <c r="A92" s="330"/>
    </row>
    <row r="93" s="331" customFormat="1" ht="15">
      <c r="A93" s="330"/>
    </row>
    <row r="94" s="331" customFormat="1" ht="15">
      <c r="A94" s="330"/>
    </row>
    <row r="95" s="331" customFormat="1" ht="15">
      <c r="A95" s="330"/>
    </row>
    <row r="96" s="331" customFormat="1" ht="15">
      <c r="A96" s="330"/>
    </row>
    <row r="97" s="331" customFormat="1" ht="15">
      <c r="A97" s="330"/>
    </row>
    <row r="98" s="331" customFormat="1" ht="15">
      <c r="A98" s="330"/>
    </row>
    <row r="99" s="331" customFormat="1" ht="15">
      <c r="A99" s="330"/>
    </row>
    <row r="100" s="331" customFormat="1" ht="15">
      <c r="A100" s="330"/>
    </row>
    <row r="101" s="331" customFormat="1" ht="15">
      <c r="A101" s="330"/>
    </row>
    <row r="102" s="331" customFormat="1" ht="15">
      <c r="A102" s="330"/>
    </row>
  </sheetData>
  <sheetProtection/>
  <mergeCells count="78">
    <mergeCell ref="B49:E49"/>
    <mergeCell ref="B56:E56"/>
    <mergeCell ref="C63:E63"/>
    <mergeCell ref="A64:F64"/>
    <mergeCell ref="B57:E57"/>
    <mergeCell ref="A50:F50"/>
    <mergeCell ref="B55:E55"/>
    <mergeCell ref="B58:E58"/>
    <mergeCell ref="A60:F60"/>
    <mergeCell ref="A85:F85"/>
    <mergeCell ref="C66:E66"/>
    <mergeCell ref="A77:F77"/>
    <mergeCell ref="B81:E81"/>
    <mergeCell ref="B82:E82"/>
    <mergeCell ref="B83:E83"/>
    <mergeCell ref="C67:E67"/>
    <mergeCell ref="C69:E69"/>
    <mergeCell ref="C68:E68"/>
    <mergeCell ref="C78:E78"/>
    <mergeCell ref="C72:E72"/>
    <mergeCell ref="B51:E51"/>
    <mergeCell ref="B52:E52"/>
    <mergeCell ref="B53:E53"/>
    <mergeCell ref="B54:E54"/>
    <mergeCell ref="C65:E65"/>
    <mergeCell ref="C62:E62"/>
    <mergeCell ref="C70:E70"/>
    <mergeCell ref="C71:E71"/>
    <mergeCell ref="B39:E39"/>
    <mergeCell ref="B46:E46"/>
    <mergeCell ref="B47:E47"/>
    <mergeCell ref="B48:E48"/>
    <mergeCell ref="B42:E42"/>
    <mergeCell ref="B43:E43"/>
    <mergeCell ref="B44:E44"/>
    <mergeCell ref="B45:E45"/>
    <mergeCell ref="B40:E40"/>
    <mergeCell ref="B41:E41"/>
    <mergeCell ref="B29:E29"/>
    <mergeCell ref="B36:E36"/>
    <mergeCell ref="B37:E37"/>
    <mergeCell ref="B38:E38"/>
    <mergeCell ref="B32:E32"/>
    <mergeCell ref="B33:E33"/>
    <mergeCell ref="B31:E31"/>
    <mergeCell ref="B30:E30"/>
    <mergeCell ref="B34:E34"/>
    <mergeCell ref="B35:E35"/>
    <mergeCell ref="B21:E21"/>
    <mergeCell ref="B28:E28"/>
    <mergeCell ref="B24:E24"/>
    <mergeCell ref="B25:E25"/>
    <mergeCell ref="B22:E22"/>
    <mergeCell ref="B23:E23"/>
    <mergeCell ref="B26:E26"/>
    <mergeCell ref="B27:E27"/>
    <mergeCell ref="E1:F1"/>
    <mergeCell ref="E2:F2"/>
    <mergeCell ref="E3:F3"/>
    <mergeCell ref="C5:F5"/>
    <mergeCell ref="A6:F6"/>
    <mergeCell ref="E4:F4"/>
    <mergeCell ref="A10:F10"/>
    <mergeCell ref="B14:E14"/>
    <mergeCell ref="A12:A13"/>
    <mergeCell ref="F12:F13"/>
    <mergeCell ref="B12:E13"/>
    <mergeCell ref="A15:F15"/>
    <mergeCell ref="B16:E16"/>
    <mergeCell ref="B17:E17"/>
    <mergeCell ref="B20:E20"/>
    <mergeCell ref="B18:E18"/>
    <mergeCell ref="B19:E19"/>
    <mergeCell ref="C79:E79"/>
    <mergeCell ref="C80:E80"/>
    <mergeCell ref="C73:E73"/>
    <mergeCell ref="C74:E74"/>
    <mergeCell ref="C75:E75"/>
  </mergeCells>
  <printOptions/>
  <pageMargins left="0.7480314960629921" right="0.35" top="0.52" bottom="0.59" header="0" footer="0"/>
  <pageSetup fitToHeight="2"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V113"/>
  <sheetViews>
    <sheetView showZeros="0" zoomScale="65" zoomScaleNormal="65" workbookViewId="0" topLeftCell="E1">
      <selection activeCell="J84" sqref="J84:J85"/>
    </sheetView>
  </sheetViews>
  <sheetFormatPr defaultColWidth="8.875" defaultRowHeight="12.75"/>
  <cols>
    <col min="1" max="1" width="17.125" style="20" customWidth="1"/>
    <col min="2" max="2" width="16.25390625" style="20" customWidth="1"/>
    <col min="3" max="3" width="16.125" style="20" customWidth="1"/>
    <col min="4" max="4" width="67.125" style="21" customWidth="1"/>
    <col min="5" max="5" width="92.875" style="22" customWidth="1"/>
    <col min="6" max="6" width="18.125" style="20" customWidth="1"/>
    <col min="7" max="8" width="16.375" style="22" customWidth="1"/>
    <col min="9" max="9" width="21.00390625" style="22" customWidth="1"/>
    <col min="10" max="10" width="17.75390625" style="22" customWidth="1"/>
    <col min="11" max="12" width="15.375" style="7" hidden="1" customWidth="1"/>
    <col min="13" max="13" width="14.00390625" style="7" hidden="1" customWidth="1"/>
    <col min="14" max="14" width="8.875" style="7" hidden="1" customWidth="1"/>
    <col min="15" max="15" width="15.25390625" style="7" hidden="1" customWidth="1"/>
    <col min="16" max="16" width="10.625" style="7" hidden="1" customWidth="1"/>
    <col min="17" max="17" width="11.00390625" style="7" hidden="1" customWidth="1"/>
    <col min="18" max="18" width="12.875" style="7" hidden="1" customWidth="1"/>
    <col min="19" max="19" width="14.375" style="7" hidden="1" customWidth="1"/>
    <col min="20" max="20" width="0" style="7" hidden="1" customWidth="1"/>
    <col min="21" max="16384" width="8.875" style="7" customWidth="1"/>
  </cols>
  <sheetData>
    <row r="1" spans="6:12" ht="21">
      <c r="F1" s="551" t="s">
        <v>346</v>
      </c>
      <c r="G1" s="551"/>
      <c r="H1" s="551"/>
      <c r="I1" s="551"/>
      <c r="J1" s="551"/>
      <c r="K1" s="2"/>
      <c r="L1" s="2"/>
    </row>
    <row r="2" spans="1:12" ht="21">
      <c r="A2" s="23"/>
      <c r="D2" s="20"/>
      <c r="F2" s="551" t="str">
        <f>додаток1!D2</f>
        <v>до рішення сімнадцятої сесії Тетіївської міської ради</v>
      </c>
      <c r="G2" s="551"/>
      <c r="H2" s="551"/>
      <c r="I2" s="551"/>
      <c r="J2" s="551"/>
      <c r="K2" s="2"/>
      <c r="L2" s="2"/>
    </row>
    <row r="3" spans="4:12" ht="42.75" customHeight="1">
      <c r="D3" s="20"/>
      <c r="F3" s="552" t="str">
        <f>додаток1!D3</f>
        <v>"Про бюджет Тетіївської міської територіальної громади на 2023 рік" від 20.12.2022 № 772-17-VIII</v>
      </c>
      <c r="G3" s="552"/>
      <c r="H3" s="552"/>
      <c r="I3" s="552"/>
      <c r="J3" s="552"/>
      <c r="K3" s="2"/>
      <c r="L3" s="2"/>
    </row>
    <row r="4" spans="4:10" ht="36.75" customHeight="1">
      <c r="D4" s="20"/>
      <c r="F4" s="552" t="str">
        <f>додаток1!D4</f>
        <v>(в редакції рішення двадцять третьої сесії Тетіївської міської ради від 26.10.2023 № 1037-23-VIII)</v>
      </c>
      <c r="G4" s="552"/>
      <c r="H4" s="552"/>
      <c r="I4" s="552"/>
      <c r="J4" s="552"/>
    </row>
    <row r="5" spans="4:13" ht="21">
      <c r="D5" s="20"/>
      <c r="F5" s="551">
        <f>додаток1!C5</f>
        <v>0</v>
      </c>
      <c r="G5" s="551"/>
      <c r="H5" s="551"/>
      <c r="I5" s="551"/>
      <c r="J5" s="551"/>
      <c r="K5" s="33"/>
      <c r="L5" s="33"/>
      <c r="M5" s="33"/>
    </row>
    <row r="6" spans="1:12" s="13" customFormat="1" ht="67.5" customHeight="1">
      <c r="A6" s="24"/>
      <c r="B6" s="24"/>
      <c r="C6" s="553" t="s">
        <v>544</v>
      </c>
      <c r="D6" s="553"/>
      <c r="E6" s="553"/>
      <c r="F6" s="553"/>
      <c r="G6" s="553"/>
      <c r="H6" s="553"/>
      <c r="I6" s="34"/>
      <c r="J6" s="34"/>
      <c r="K6" s="35"/>
      <c r="L6" s="35"/>
    </row>
    <row r="7" spans="1:12" s="13" customFormat="1" ht="27" customHeight="1">
      <c r="A7" s="453">
        <f>додаток1!A8</f>
        <v>1050800000</v>
      </c>
      <c r="B7" s="453"/>
      <c r="C7" s="25"/>
      <c r="D7" s="25"/>
      <c r="E7" s="25"/>
      <c r="F7" s="25"/>
      <c r="G7" s="25"/>
      <c r="H7" s="25"/>
      <c r="I7" s="25"/>
      <c r="J7" s="25"/>
      <c r="K7" s="35"/>
      <c r="L7" s="35"/>
    </row>
    <row r="8" spans="1:12" s="1" customFormat="1" ht="24" customHeight="1">
      <c r="A8" s="556" t="s">
        <v>13</v>
      </c>
      <c r="B8" s="556"/>
      <c r="C8" s="26"/>
      <c r="D8" s="26"/>
      <c r="E8" s="27"/>
      <c r="F8" s="26"/>
      <c r="G8" s="27"/>
      <c r="H8" s="27"/>
      <c r="I8" s="27"/>
      <c r="J8" s="27"/>
      <c r="K8" s="36"/>
      <c r="L8" s="36"/>
    </row>
    <row r="9" spans="1:18" s="5" customFormat="1" ht="21">
      <c r="A9" s="28"/>
      <c r="B9" s="28"/>
      <c r="C9" s="28"/>
      <c r="D9" s="29"/>
      <c r="E9" s="30"/>
      <c r="F9" s="28"/>
      <c r="G9" s="30"/>
      <c r="H9" s="30"/>
      <c r="I9" s="30"/>
      <c r="J9" s="37" t="s">
        <v>14</v>
      </c>
      <c r="K9" s="554" t="s">
        <v>347</v>
      </c>
      <c r="L9" s="209"/>
      <c r="M9" s="554" t="s">
        <v>435</v>
      </c>
      <c r="N9" s="554" t="s">
        <v>348</v>
      </c>
      <c r="O9" s="554" t="s">
        <v>434</v>
      </c>
      <c r="P9" s="554" t="s">
        <v>349</v>
      </c>
      <c r="Q9" s="554" t="s">
        <v>501</v>
      </c>
      <c r="R9" s="554" t="s">
        <v>350</v>
      </c>
    </row>
    <row r="10" spans="1:22" s="14" customFormat="1" ht="140.25" customHeight="1">
      <c r="A10" s="317" t="s">
        <v>158</v>
      </c>
      <c r="B10" s="317" t="s">
        <v>159</v>
      </c>
      <c r="C10" s="318" t="s">
        <v>160</v>
      </c>
      <c r="D10" s="318" t="s">
        <v>161</v>
      </c>
      <c r="E10" s="318" t="s">
        <v>475</v>
      </c>
      <c r="F10" s="318" t="s">
        <v>476</v>
      </c>
      <c r="G10" s="318" t="s">
        <v>477</v>
      </c>
      <c r="H10" s="318" t="s">
        <v>478</v>
      </c>
      <c r="I10" s="318" t="s">
        <v>76</v>
      </c>
      <c r="J10" s="318" t="s">
        <v>77</v>
      </c>
      <c r="K10" s="555"/>
      <c r="L10" s="210" t="s">
        <v>136</v>
      </c>
      <c r="M10" s="555"/>
      <c r="N10" s="555"/>
      <c r="O10" s="555"/>
      <c r="P10" s="555"/>
      <c r="Q10" s="555"/>
      <c r="R10" s="555"/>
      <c r="S10" s="204" t="s">
        <v>351</v>
      </c>
      <c r="T10" s="205"/>
      <c r="U10" s="205"/>
      <c r="V10" s="206"/>
    </row>
    <row r="11" spans="1:18" s="15" customFormat="1" ht="30.75" customHeight="1">
      <c r="A11" s="31" t="s">
        <v>352</v>
      </c>
      <c r="B11" s="31" t="s">
        <v>353</v>
      </c>
      <c r="C11" s="32">
        <v>3</v>
      </c>
      <c r="D11" s="32">
        <v>4</v>
      </c>
      <c r="E11" s="32">
        <v>5</v>
      </c>
      <c r="F11" s="32">
        <v>6</v>
      </c>
      <c r="G11" s="32">
        <v>7</v>
      </c>
      <c r="H11" s="32">
        <v>8</v>
      </c>
      <c r="I11" s="32">
        <v>9</v>
      </c>
      <c r="J11" s="38">
        <v>10</v>
      </c>
      <c r="K11" s="53"/>
      <c r="L11" s="53"/>
      <c r="M11" s="215"/>
      <c r="N11" s="215"/>
      <c r="O11" s="215"/>
      <c r="P11" s="53"/>
      <c r="Q11" s="53"/>
      <c r="R11" s="53"/>
    </row>
    <row r="12" spans="1:20" s="16" customFormat="1" ht="31.5" customHeight="1">
      <c r="A12" s="430" t="s">
        <v>171</v>
      </c>
      <c r="B12" s="410"/>
      <c r="C12" s="417"/>
      <c r="D12" s="431" t="s">
        <v>172</v>
      </c>
      <c r="E12" s="412"/>
      <c r="F12" s="417"/>
      <c r="G12" s="415"/>
      <c r="H12" s="415"/>
      <c r="I12" s="432">
        <f>I13</f>
        <v>51236850</v>
      </c>
      <c r="J12" s="433">
        <f>J13</f>
        <v>0</v>
      </c>
      <c r="K12" s="216"/>
      <c r="L12" s="216"/>
      <c r="M12" s="216"/>
      <c r="N12" s="216"/>
      <c r="O12" s="216"/>
      <c r="P12" s="216"/>
      <c r="Q12" s="216"/>
      <c r="R12" s="216"/>
      <c r="S12" s="207"/>
      <c r="T12" s="208"/>
    </row>
    <row r="13" spans="1:19" s="16" customFormat="1" ht="31.5" customHeight="1">
      <c r="A13" s="434" t="s">
        <v>173</v>
      </c>
      <c r="B13" s="410"/>
      <c r="C13" s="417"/>
      <c r="D13" s="431" t="s">
        <v>172</v>
      </c>
      <c r="E13" s="412"/>
      <c r="F13" s="417"/>
      <c r="G13" s="415"/>
      <c r="H13" s="415"/>
      <c r="I13" s="432">
        <f>I14+I17+I25</f>
        <v>51236850</v>
      </c>
      <c r="J13" s="433">
        <f>SUM(J23:J23)</f>
        <v>0</v>
      </c>
      <c r="K13" s="217"/>
      <c r="L13" s="217"/>
      <c r="M13" s="218"/>
      <c r="N13" s="218"/>
      <c r="O13" s="217"/>
      <c r="P13" s="217"/>
      <c r="Q13" s="217"/>
      <c r="R13" s="217"/>
      <c r="S13" s="17"/>
    </row>
    <row r="14" spans="1:19" s="16" customFormat="1" ht="31.5" customHeight="1">
      <c r="A14" s="175"/>
      <c r="B14" s="176" t="s">
        <v>375</v>
      </c>
      <c r="C14" s="177"/>
      <c r="D14" s="178" t="s">
        <v>376</v>
      </c>
      <c r="E14" s="179"/>
      <c r="F14" s="177"/>
      <c r="G14" s="181"/>
      <c r="H14" s="181"/>
      <c r="I14" s="181">
        <f>I15</f>
        <v>36850</v>
      </c>
      <c r="J14" s="182"/>
      <c r="K14" s="217"/>
      <c r="L14" s="217"/>
      <c r="M14" s="218"/>
      <c r="N14" s="218"/>
      <c r="O14" s="217"/>
      <c r="P14" s="217"/>
      <c r="Q14" s="217"/>
      <c r="R14" s="217"/>
      <c r="S14" s="17"/>
    </row>
    <row r="15" spans="1:18" s="140" customFormat="1" ht="89.25" customHeight="1">
      <c r="A15" s="156" t="s">
        <v>174</v>
      </c>
      <c r="B15" s="156" t="s">
        <v>175</v>
      </c>
      <c r="C15" s="156" t="s">
        <v>176</v>
      </c>
      <c r="D15" s="157" t="s">
        <v>178</v>
      </c>
      <c r="E15" s="155"/>
      <c r="F15" s="232"/>
      <c r="G15" s="170"/>
      <c r="H15" s="170"/>
      <c r="I15" s="170">
        <f>I16</f>
        <v>36850</v>
      </c>
      <c r="J15" s="139"/>
      <c r="K15" s="219"/>
      <c r="L15" s="219"/>
      <c r="M15" s="220"/>
      <c r="N15" s="220"/>
      <c r="O15" s="219"/>
      <c r="P15" s="219"/>
      <c r="Q15" s="219"/>
      <c r="R15" s="219"/>
    </row>
    <row r="16" spans="1:18" s="143" customFormat="1" ht="57" customHeight="1">
      <c r="A16" s="158"/>
      <c r="B16" s="158"/>
      <c r="C16" s="158"/>
      <c r="D16" s="159"/>
      <c r="E16" s="160" t="s">
        <v>133</v>
      </c>
      <c r="F16" s="233">
        <v>2023</v>
      </c>
      <c r="G16" s="171">
        <v>36850</v>
      </c>
      <c r="H16" s="171">
        <v>36850</v>
      </c>
      <c r="I16" s="171">
        <v>36850</v>
      </c>
      <c r="J16" s="142">
        <v>100</v>
      </c>
      <c r="K16" s="221"/>
      <c r="L16" s="221"/>
      <c r="M16" s="221"/>
      <c r="N16" s="222"/>
      <c r="O16" s="221"/>
      <c r="P16" s="221"/>
      <c r="Q16" s="221"/>
      <c r="R16" s="221"/>
    </row>
    <row r="17" spans="1:18" s="140" customFormat="1" ht="31.5" customHeight="1" hidden="1">
      <c r="A17" s="175"/>
      <c r="B17" s="175" t="s">
        <v>392</v>
      </c>
      <c r="C17" s="175"/>
      <c r="D17" s="179" t="s">
        <v>393</v>
      </c>
      <c r="E17" s="179"/>
      <c r="F17" s="177"/>
      <c r="G17" s="181"/>
      <c r="H17" s="181"/>
      <c r="I17" s="181">
        <f>I18+I23</f>
        <v>0</v>
      </c>
      <c r="J17" s="182"/>
      <c r="K17" s="219"/>
      <c r="L17" s="221"/>
      <c r="M17" s="220"/>
      <c r="N17" s="220"/>
      <c r="O17" s="219"/>
      <c r="P17" s="219"/>
      <c r="Q17" s="219"/>
      <c r="R17" s="219"/>
    </row>
    <row r="18" spans="1:18" s="140" customFormat="1" ht="31.5" customHeight="1" hidden="1">
      <c r="A18" s="156" t="s">
        <v>204</v>
      </c>
      <c r="B18" s="156" t="s">
        <v>205</v>
      </c>
      <c r="C18" s="156" t="s">
        <v>202</v>
      </c>
      <c r="D18" s="157" t="s">
        <v>206</v>
      </c>
      <c r="E18" s="155"/>
      <c r="F18" s="232"/>
      <c r="G18" s="170"/>
      <c r="H18" s="170"/>
      <c r="I18" s="170">
        <f>SUM(I19:I22)</f>
        <v>0</v>
      </c>
      <c r="J18" s="139"/>
      <c r="K18" s="219"/>
      <c r="L18" s="221"/>
      <c r="M18" s="220"/>
      <c r="N18" s="220"/>
      <c r="O18" s="219"/>
      <c r="P18" s="219"/>
      <c r="Q18" s="219"/>
      <c r="R18" s="219"/>
    </row>
    <row r="19" spans="1:18" s="143" customFormat="1" ht="46.5" customHeight="1" hidden="1">
      <c r="A19" s="158"/>
      <c r="B19" s="158"/>
      <c r="C19" s="158"/>
      <c r="D19" s="159"/>
      <c r="E19" s="169"/>
      <c r="F19" s="233"/>
      <c r="G19" s="171"/>
      <c r="H19" s="171"/>
      <c r="I19" s="171"/>
      <c r="J19" s="142"/>
      <c r="K19" s="221"/>
      <c r="L19" s="221"/>
      <c r="M19" s="222"/>
      <c r="N19" s="223"/>
      <c r="O19" s="221"/>
      <c r="P19" s="221"/>
      <c r="Q19" s="221"/>
      <c r="R19" s="221"/>
    </row>
    <row r="20" spans="1:18" s="143" customFormat="1" ht="104.25" customHeight="1" hidden="1">
      <c r="A20" s="158"/>
      <c r="B20" s="161"/>
      <c r="C20" s="161"/>
      <c r="D20" s="155"/>
      <c r="E20" s="169"/>
      <c r="F20" s="233"/>
      <c r="G20" s="171"/>
      <c r="H20" s="171"/>
      <c r="I20" s="171"/>
      <c r="J20" s="142"/>
      <c r="K20" s="221"/>
      <c r="L20" s="221"/>
      <c r="M20" s="221"/>
      <c r="N20" s="222"/>
      <c r="O20" s="221"/>
      <c r="P20" s="221"/>
      <c r="Q20" s="221"/>
      <c r="R20" s="221"/>
    </row>
    <row r="21" spans="1:18" s="143" customFormat="1" ht="42.75" customHeight="1" hidden="1">
      <c r="A21" s="158"/>
      <c r="B21" s="161"/>
      <c r="C21" s="161"/>
      <c r="D21" s="155"/>
      <c r="E21" s="169"/>
      <c r="F21" s="233"/>
      <c r="G21" s="171"/>
      <c r="H21" s="171"/>
      <c r="I21" s="171"/>
      <c r="J21" s="142"/>
      <c r="K21" s="221"/>
      <c r="L21" s="221"/>
      <c r="M21" s="222"/>
      <c r="N21" s="222"/>
      <c r="O21" s="221"/>
      <c r="P21" s="221"/>
      <c r="Q21" s="221"/>
      <c r="R21" s="221"/>
    </row>
    <row r="22" spans="1:18" s="143" customFormat="1" ht="43.5" customHeight="1" hidden="1">
      <c r="A22" s="158"/>
      <c r="B22" s="161"/>
      <c r="C22" s="161"/>
      <c r="D22" s="155"/>
      <c r="E22" s="169"/>
      <c r="F22" s="233" t="s">
        <v>498</v>
      </c>
      <c r="G22" s="171"/>
      <c r="H22" s="171"/>
      <c r="I22" s="171"/>
      <c r="J22" s="142"/>
      <c r="K22" s="221"/>
      <c r="L22" s="221"/>
      <c r="M22" s="221"/>
      <c r="N22" s="222"/>
      <c r="O22" s="221"/>
      <c r="P22" s="221"/>
      <c r="Q22" s="221"/>
      <c r="R22" s="221"/>
    </row>
    <row r="23" spans="1:18" s="140" customFormat="1" ht="42" customHeight="1" hidden="1">
      <c r="A23" s="145" t="s">
        <v>207</v>
      </c>
      <c r="B23" s="145" t="s">
        <v>208</v>
      </c>
      <c r="C23" s="145" t="s">
        <v>209</v>
      </c>
      <c r="D23" s="146" t="s">
        <v>210</v>
      </c>
      <c r="E23" s="147"/>
      <c r="F23" s="233" t="s">
        <v>499</v>
      </c>
      <c r="G23" s="170"/>
      <c r="H23" s="170"/>
      <c r="I23" s="170">
        <f>SUM(I24)</f>
        <v>0</v>
      </c>
      <c r="J23" s="139"/>
      <c r="K23" s="219"/>
      <c r="L23" s="221"/>
      <c r="M23" s="219"/>
      <c r="N23" s="220"/>
      <c r="O23" s="219"/>
      <c r="P23" s="219"/>
      <c r="Q23" s="219"/>
      <c r="R23" s="219"/>
    </row>
    <row r="24" spans="1:18" s="17" customFormat="1" ht="42" customHeight="1" hidden="1">
      <c r="A24" s="148"/>
      <c r="B24" s="148"/>
      <c r="C24" s="148"/>
      <c r="D24" s="149"/>
      <c r="E24" s="150" t="s">
        <v>210</v>
      </c>
      <c r="F24" s="233" t="s">
        <v>500</v>
      </c>
      <c r="G24" s="171">
        <f>300000-300000</f>
        <v>0</v>
      </c>
      <c r="H24" s="171"/>
      <c r="I24" s="171">
        <f>300000-300000</f>
        <v>0</v>
      </c>
      <c r="J24" s="142"/>
      <c r="K24" s="217"/>
      <c r="L24" s="221"/>
      <c r="M24" s="217"/>
      <c r="N24" s="218"/>
      <c r="O24" s="217"/>
      <c r="P24" s="217"/>
      <c r="Q24" s="217"/>
      <c r="R24" s="217"/>
    </row>
    <row r="25" spans="1:18" s="140" customFormat="1" ht="42" customHeight="1">
      <c r="A25" s="176"/>
      <c r="B25" s="175" t="s">
        <v>394</v>
      </c>
      <c r="C25" s="175"/>
      <c r="D25" s="349" t="s">
        <v>395</v>
      </c>
      <c r="E25" s="183"/>
      <c r="F25" s="177"/>
      <c r="G25" s="181"/>
      <c r="H25" s="181"/>
      <c r="I25" s="181">
        <f>I26+I29+I34+I38+I40+I42+I36</f>
        <v>51200000</v>
      </c>
      <c r="J25" s="182"/>
      <c r="K25" s="219"/>
      <c r="L25" s="221"/>
      <c r="M25" s="219"/>
      <c r="N25" s="220"/>
      <c r="O25" s="219"/>
      <c r="P25" s="219"/>
      <c r="Q25" s="219"/>
      <c r="R25" s="219"/>
    </row>
    <row r="26" spans="1:18" s="140" customFormat="1" ht="31.5" customHeight="1">
      <c r="A26" s="145" t="s">
        <v>122</v>
      </c>
      <c r="B26" s="145" t="s">
        <v>123</v>
      </c>
      <c r="C26" s="145" t="s">
        <v>362</v>
      </c>
      <c r="D26" s="146" t="s">
        <v>124</v>
      </c>
      <c r="E26" s="147"/>
      <c r="F26" s="232"/>
      <c r="G26" s="170"/>
      <c r="H26" s="170"/>
      <c r="I26" s="170">
        <f>SUM(I27:I28)</f>
        <v>1200000</v>
      </c>
      <c r="J26" s="139"/>
      <c r="K26" s="219"/>
      <c r="L26" s="221"/>
      <c r="M26" s="219"/>
      <c r="N26" s="220"/>
      <c r="O26" s="219"/>
      <c r="P26" s="219"/>
      <c r="Q26" s="219"/>
      <c r="R26" s="219"/>
    </row>
    <row r="27" spans="1:18" s="140" customFormat="1" ht="102" customHeight="1">
      <c r="A27" s="145"/>
      <c r="B27" s="145"/>
      <c r="C27" s="145"/>
      <c r="D27" s="146"/>
      <c r="E27" s="150" t="s">
        <v>134</v>
      </c>
      <c r="F27" s="233">
        <v>2023</v>
      </c>
      <c r="G27" s="171">
        <v>1200000</v>
      </c>
      <c r="H27" s="171">
        <v>1200000</v>
      </c>
      <c r="I27" s="171">
        <v>1200000</v>
      </c>
      <c r="J27" s="142">
        <v>100</v>
      </c>
      <c r="K27" s="219"/>
      <c r="L27" s="221"/>
      <c r="M27" s="219"/>
      <c r="N27" s="220"/>
      <c r="O27" s="219"/>
      <c r="P27" s="219"/>
      <c r="Q27" s="219"/>
      <c r="R27" s="219"/>
    </row>
    <row r="28" spans="1:18" s="17" customFormat="1" ht="100.5" customHeight="1" hidden="1">
      <c r="A28" s="148"/>
      <c r="B28" s="148"/>
      <c r="C28" s="148"/>
      <c r="D28" s="149"/>
      <c r="E28" s="150" t="s">
        <v>131</v>
      </c>
      <c r="F28" s="233" t="s">
        <v>75</v>
      </c>
      <c r="G28" s="429"/>
      <c r="H28" s="429"/>
      <c r="I28" s="171"/>
      <c r="J28" s="142"/>
      <c r="K28" s="217"/>
      <c r="L28" s="221"/>
      <c r="M28" s="217"/>
      <c r="N28" s="218"/>
      <c r="O28" s="217"/>
      <c r="P28" s="217"/>
      <c r="Q28" s="217"/>
      <c r="R28" s="217"/>
    </row>
    <row r="29" spans="1:18" s="140" customFormat="1" ht="52.5" customHeight="1">
      <c r="A29" s="156" t="s">
        <v>119</v>
      </c>
      <c r="B29" s="156" t="s">
        <v>120</v>
      </c>
      <c r="C29" s="156" t="s">
        <v>224</v>
      </c>
      <c r="D29" s="157" t="s">
        <v>121</v>
      </c>
      <c r="E29" s="147"/>
      <c r="F29" s="232"/>
      <c r="G29" s="170"/>
      <c r="H29" s="170"/>
      <c r="I29" s="170">
        <f>SUM(I30:I33)</f>
        <v>50000000</v>
      </c>
      <c r="J29" s="139"/>
      <c r="K29" s="219"/>
      <c r="L29" s="221"/>
      <c r="M29" s="219"/>
      <c r="N29" s="220"/>
      <c r="O29" s="219"/>
      <c r="P29" s="219"/>
      <c r="Q29" s="219"/>
      <c r="R29" s="219"/>
    </row>
    <row r="30" spans="1:18" s="17" customFormat="1" ht="78.75" customHeight="1">
      <c r="A30" s="148"/>
      <c r="B30" s="148"/>
      <c r="C30" s="148"/>
      <c r="D30" s="149"/>
      <c r="E30" s="150" t="s">
        <v>132</v>
      </c>
      <c r="F30" s="233" t="s">
        <v>75</v>
      </c>
      <c r="G30" s="429">
        <v>236987927</v>
      </c>
      <c r="H30" s="429">
        <v>39497988</v>
      </c>
      <c r="I30" s="171">
        <v>50000000</v>
      </c>
      <c r="J30" s="142">
        <v>21</v>
      </c>
      <c r="K30" s="217"/>
      <c r="L30" s="221"/>
      <c r="M30" s="217"/>
      <c r="N30" s="218"/>
      <c r="O30" s="217"/>
      <c r="P30" s="217"/>
      <c r="Q30" s="217"/>
      <c r="R30" s="217"/>
    </row>
    <row r="31" spans="1:18" s="17" customFormat="1" ht="85.5" customHeight="1" hidden="1">
      <c r="A31" s="148"/>
      <c r="B31" s="148"/>
      <c r="C31" s="148"/>
      <c r="D31" s="149"/>
      <c r="E31" s="150"/>
      <c r="F31" s="233"/>
      <c r="G31" s="171"/>
      <c r="H31" s="171"/>
      <c r="I31" s="171"/>
      <c r="J31" s="142"/>
      <c r="K31" s="217"/>
      <c r="L31" s="221"/>
      <c r="M31" s="217"/>
      <c r="N31" s="218"/>
      <c r="O31" s="217"/>
      <c r="P31" s="217"/>
      <c r="Q31" s="217"/>
      <c r="R31" s="217"/>
    </row>
    <row r="32" spans="1:18" s="17" customFormat="1" ht="90" customHeight="1" hidden="1">
      <c r="A32" s="148"/>
      <c r="B32" s="148"/>
      <c r="C32" s="148"/>
      <c r="D32" s="149"/>
      <c r="E32" s="150"/>
      <c r="F32" s="233"/>
      <c r="G32" s="171"/>
      <c r="H32" s="171"/>
      <c r="I32" s="171"/>
      <c r="J32" s="142"/>
      <c r="K32" s="217"/>
      <c r="L32" s="221"/>
      <c r="M32" s="217"/>
      <c r="N32" s="218"/>
      <c r="O32" s="217"/>
      <c r="P32" s="217"/>
      <c r="Q32" s="217"/>
      <c r="R32" s="217"/>
    </row>
    <row r="33" spans="1:18" s="17" customFormat="1" ht="68.25" customHeight="1" hidden="1">
      <c r="A33" s="148"/>
      <c r="B33" s="148"/>
      <c r="C33" s="148"/>
      <c r="D33" s="149"/>
      <c r="E33" s="150"/>
      <c r="F33" s="233"/>
      <c r="G33" s="171"/>
      <c r="H33" s="171"/>
      <c r="I33" s="171"/>
      <c r="J33" s="142"/>
      <c r="K33" s="217"/>
      <c r="L33" s="221"/>
      <c r="M33" s="217"/>
      <c r="N33" s="218"/>
      <c r="O33" s="217"/>
      <c r="P33" s="217"/>
      <c r="Q33" s="217"/>
      <c r="R33" s="217"/>
    </row>
    <row r="34" spans="1:18" s="140" customFormat="1" ht="72" customHeight="1" hidden="1">
      <c r="A34" s="156" t="s">
        <v>398</v>
      </c>
      <c r="B34" s="156" t="s">
        <v>399</v>
      </c>
      <c r="C34" s="156" t="s">
        <v>224</v>
      </c>
      <c r="D34" s="157" t="s">
        <v>400</v>
      </c>
      <c r="E34" s="147"/>
      <c r="F34" s="232"/>
      <c r="G34" s="170"/>
      <c r="H34" s="170"/>
      <c r="I34" s="170">
        <f>SUM(I35)</f>
        <v>0</v>
      </c>
      <c r="J34" s="139"/>
      <c r="K34" s="219"/>
      <c r="L34" s="221"/>
      <c r="M34" s="219"/>
      <c r="N34" s="220"/>
      <c r="O34" s="219"/>
      <c r="P34" s="219"/>
      <c r="Q34" s="219"/>
      <c r="R34" s="219"/>
    </row>
    <row r="35" spans="1:18" s="17" customFormat="1" ht="141" customHeight="1" hidden="1">
      <c r="A35" s="148"/>
      <c r="B35" s="148"/>
      <c r="C35" s="148"/>
      <c r="D35" s="149"/>
      <c r="E35" s="150"/>
      <c r="F35" s="233"/>
      <c r="G35" s="171"/>
      <c r="H35" s="171"/>
      <c r="I35" s="171"/>
      <c r="J35" s="142"/>
      <c r="K35" s="217"/>
      <c r="L35" s="221"/>
      <c r="M35" s="217"/>
      <c r="N35" s="218"/>
      <c r="O35" s="348"/>
      <c r="P35" s="217"/>
      <c r="Q35" s="217"/>
      <c r="R35" s="217"/>
    </row>
    <row r="36" spans="1:18" s="140" customFormat="1" ht="45" customHeight="1" hidden="1">
      <c r="A36" s="156" t="s">
        <v>454</v>
      </c>
      <c r="B36" s="156" t="s">
        <v>455</v>
      </c>
      <c r="C36" s="156" t="s">
        <v>224</v>
      </c>
      <c r="D36" s="174" t="s">
        <v>456</v>
      </c>
      <c r="E36" s="147"/>
      <c r="F36" s="232"/>
      <c r="G36" s="170"/>
      <c r="H36" s="170"/>
      <c r="I36" s="170">
        <f>SUM(I37)</f>
        <v>0</v>
      </c>
      <c r="J36" s="139"/>
      <c r="K36" s="219"/>
      <c r="L36" s="221"/>
      <c r="M36" s="219"/>
      <c r="N36" s="220"/>
      <c r="O36" s="219"/>
      <c r="P36" s="219"/>
      <c r="Q36" s="219"/>
      <c r="R36" s="219"/>
    </row>
    <row r="37" spans="1:18" s="17" customFormat="1" ht="51" customHeight="1" hidden="1">
      <c r="A37" s="148"/>
      <c r="B37" s="148"/>
      <c r="C37" s="148"/>
      <c r="D37" s="149"/>
      <c r="E37" s="150"/>
      <c r="F37" s="233"/>
      <c r="G37" s="171"/>
      <c r="H37" s="171"/>
      <c r="I37" s="171"/>
      <c r="J37" s="142"/>
      <c r="K37" s="217"/>
      <c r="L37" s="221"/>
      <c r="M37" s="217"/>
      <c r="N37" s="218"/>
      <c r="O37" s="217"/>
      <c r="P37" s="217"/>
      <c r="Q37" s="217"/>
      <c r="R37" s="217"/>
    </row>
    <row r="38" spans="1:18" s="140" customFormat="1" ht="54.75" customHeight="1" hidden="1">
      <c r="A38" s="156" t="s">
        <v>215</v>
      </c>
      <c r="B38" s="156" t="s">
        <v>216</v>
      </c>
      <c r="C38" s="156" t="s">
        <v>217</v>
      </c>
      <c r="D38" s="174" t="s">
        <v>218</v>
      </c>
      <c r="E38" s="147"/>
      <c r="F38" s="232"/>
      <c r="G38" s="170"/>
      <c r="H38" s="170"/>
      <c r="I38" s="170">
        <f>SUM(I39)</f>
        <v>0</v>
      </c>
      <c r="J38" s="139"/>
      <c r="K38" s="219"/>
      <c r="L38" s="221"/>
      <c r="M38" s="219"/>
      <c r="N38" s="220"/>
      <c r="O38" s="219"/>
      <c r="P38" s="219"/>
      <c r="Q38" s="219"/>
      <c r="R38" s="219"/>
    </row>
    <row r="39" spans="1:18" s="17" customFormat="1" ht="27.75" customHeight="1" hidden="1">
      <c r="A39" s="148"/>
      <c r="B39" s="148"/>
      <c r="C39" s="148"/>
      <c r="D39" s="149"/>
      <c r="E39" s="150"/>
      <c r="F39" s="233"/>
      <c r="G39" s="171"/>
      <c r="H39" s="171"/>
      <c r="I39" s="171"/>
      <c r="J39" s="142"/>
      <c r="K39" s="217"/>
      <c r="L39" s="221"/>
      <c r="M39" s="217"/>
      <c r="N39" s="218"/>
      <c r="O39" s="217"/>
      <c r="P39" s="217"/>
      <c r="Q39" s="217"/>
      <c r="R39" s="217"/>
    </row>
    <row r="40" spans="1:18" s="140" customFormat="1" ht="60" customHeight="1" hidden="1">
      <c r="A40" s="156" t="s">
        <v>401</v>
      </c>
      <c r="B40" s="156" t="s">
        <v>402</v>
      </c>
      <c r="C40" s="156" t="s">
        <v>217</v>
      </c>
      <c r="D40" s="174" t="s">
        <v>403</v>
      </c>
      <c r="E40" s="147"/>
      <c r="F40" s="232"/>
      <c r="G40" s="170"/>
      <c r="H40" s="170"/>
      <c r="I40" s="170">
        <f>I41</f>
        <v>0</v>
      </c>
      <c r="J40" s="139"/>
      <c r="K40" s="219"/>
      <c r="L40" s="221"/>
      <c r="M40" s="219"/>
      <c r="N40" s="220"/>
      <c r="O40" s="219"/>
      <c r="P40" s="219"/>
      <c r="Q40" s="219"/>
      <c r="R40" s="219"/>
    </row>
    <row r="41" spans="1:18" s="17" customFormat="1" ht="39.75" customHeight="1" hidden="1">
      <c r="A41" s="148"/>
      <c r="B41" s="148"/>
      <c r="C41" s="148"/>
      <c r="D41" s="149"/>
      <c r="E41" s="150"/>
      <c r="F41" s="233"/>
      <c r="G41" s="171"/>
      <c r="H41" s="171"/>
      <c r="I41" s="171"/>
      <c r="J41" s="142"/>
      <c r="K41" s="217"/>
      <c r="L41" s="221"/>
      <c r="M41" s="217"/>
      <c r="N41" s="218"/>
      <c r="O41" s="217"/>
      <c r="P41" s="217"/>
      <c r="Q41" s="217"/>
      <c r="R41" s="217"/>
    </row>
    <row r="42" spans="1:18" s="140" customFormat="1" ht="43.5" customHeight="1" hidden="1">
      <c r="A42" s="156" t="s">
        <v>404</v>
      </c>
      <c r="B42" s="156" t="s">
        <v>405</v>
      </c>
      <c r="C42" s="156" t="s">
        <v>224</v>
      </c>
      <c r="D42" s="174" t="s">
        <v>406</v>
      </c>
      <c r="E42" s="147"/>
      <c r="F42" s="232"/>
      <c r="G42" s="170"/>
      <c r="H42" s="170"/>
      <c r="I42" s="170">
        <f>SUM(I43)</f>
        <v>0</v>
      </c>
      <c r="J42" s="139"/>
      <c r="K42" s="219"/>
      <c r="L42" s="221"/>
      <c r="M42" s="219"/>
      <c r="N42" s="220"/>
      <c r="O42" s="219"/>
      <c r="P42" s="219"/>
      <c r="Q42" s="219"/>
      <c r="R42" s="219"/>
    </row>
    <row r="43" spans="1:18" s="17" customFormat="1" ht="31.5" customHeight="1" hidden="1">
      <c r="A43" s="148"/>
      <c r="B43" s="148"/>
      <c r="C43" s="148"/>
      <c r="D43" s="149"/>
      <c r="E43" s="150"/>
      <c r="F43" s="233"/>
      <c r="G43" s="171"/>
      <c r="H43" s="171"/>
      <c r="I43" s="171"/>
      <c r="J43" s="142"/>
      <c r="K43" s="217"/>
      <c r="L43" s="221"/>
      <c r="M43" s="217"/>
      <c r="N43" s="217"/>
      <c r="O43" s="217"/>
      <c r="P43" s="217"/>
      <c r="Q43" s="217"/>
      <c r="R43" s="217"/>
    </row>
    <row r="44" spans="1:18" s="17" customFormat="1" ht="42.75" customHeight="1">
      <c r="A44" s="410" t="s">
        <v>234</v>
      </c>
      <c r="B44" s="411"/>
      <c r="C44" s="411"/>
      <c r="D44" s="412" t="s">
        <v>410</v>
      </c>
      <c r="E44" s="412"/>
      <c r="F44" s="413"/>
      <c r="G44" s="414"/>
      <c r="H44" s="414"/>
      <c r="I44" s="415">
        <f>I45</f>
        <v>2430500</v>
      </c>
      <c r="J44" s="416"/>
      <c r="K44" s="217"/>
      <c r="L44" s="221"/>
      <c r="M44" s="217"/>
      <c r="N44" s="217"/>
      <c r="O44" s="217"/>
      <c r="P44" s="217"/>
      <c r="Q44" s="217"/>
      <c r="R44" s="217"/>
    </row>
    <row r="45" spans="1:18" s="17" customFormat="1" ht="42.75" customHeight="1">
      <c r="A45" s="410" t="s">
        <v>235</v>
      </c>
      <c r="B45" s="411"/>
      <c r="C45" s="411"/>
      <c r="D45" s="412" t="s">
        <v>410</v>
      </c>
      <c r="E45" s="412"/>
      <c r="F45" s="413"/>
      <c r="G45" s="414"/>
      <c r="H45" s="414"/>
      <c r="I45" s="415">
        <f>I46+I64</f>
        <v>2430500</v>
      </c>
      <c r="J45" s="416"/>
      <c r="K45" s="217"/>
      <c r="L45" s="221"/>
      <c r="M45" s="217"/>
      <c r="N45" s="217"/>
      <c r="O45" s="217"/>
      <c r="P45" s="217"/>
      <c r="Q45" s="217"/>
      <c r="R45" s="217"/>
    </row>
    <row r="46" spans="1:18" s="140" customFormat="1" ht="42.75" customHeight="1">
      <c r="A46" s="176"/>
      <c r="B46" s="175" t="s">
        <v>411</v>
      </c>
      <c r="C46" s="175"/>
      <c r="D46" s="179" t="s">
        <v>412</v>
      </c>
      <c r="E46" s="179"/>
      <c r="F46" s="177"/>
      <c r="G46" s="181"/>
      <c r="H46" s="181"/>
      <c r="I46" s="181">
        <f>I50+I60+I62+I52+I58+I47+I56</f>
        <v>2430500</v>
      </c>
      <c r="J46" s="182"/>
      <c r="K46" s="219"/>
      <c r="L46" s="221"/>
      <c r="M46" s="219"/>
      <c r="N46" s="219"/>
      <c r="O46" s="219"/>
      <c r="P46" s="219"/>
      <c r="Q46" s="219"/>
      <c r="R46" s="219"/>
    </row>
    <row r="47" spans="1:18" s="140" customFormat="1" ht="42.75" customHeight="1">
      <c r="A47" s="156" t="s">
        <v>238</v>
      </c>
      <c r="B47" s="156" t="s">
        <v>239</v>
      </c>
      <c r="C47" s="156" t="s">
        <v>240</v>
      </c>
      <c r="D47" s="174" t="s">
        <v>241</v>
      </c>
      <c r="E47" s="155"/>
      <c r="F47" s="234"/>
      <c r="G47" s="185"/>
      <c r="H47" s="185"/>
      <c r="I47" s="185">
        <f>SUM(I48:I49)</f>
        <v>2180500</v>
      </c>
      <c r="J47" s="187"/>
      <c r="K47" s="219"/>
      <c r="L47" s="221"/>
      <c r="M47" s="219"/>
      <c r="N47" s="219"/>
      <c r="O47" s="219"/>
      <c r="P47" s="219"/>
      <c r="Q47" s="219"/>
      <c r="R47" s="219"/>
    </row>
    <row r="48" spans="1:18" s="143" customFormat="1" ht="57.75" customHeight="1">
      <c r="A48" s="158"/>
      <c r="B48" s="158"/>
      <c r="C48" s="158"/>
      <c r="D48" s="162"/>
      <c r="E48" s="160" t="s">
        <v>125</v>
      </c>
      <c r="F48" s="233">
        <v>2023</v>
      </c>
      <c r="G48" s="184">
        <f>900000+1200000</f>
        <v>2100000</v>
      </c>
      <c r="H48" s="184">
        <f>900000+1200000</f>
        <v>2100000</v>
      </c>
      <c r="I48" s="184">
        <f>900000+1200000</f>
        <v>2100000</v>
      </c>
      <c r="J48" s="186">
        <v>100</v>
      </c>
      <c r="K48" s="221"/>
      <c r="L48" s="221"/>
      <c r="M48" s="221"/>
      <c r="N48" s="221"/>
      <c r="O48" s="221"/>
      <c r="P48" s="221"/>
      <c r="Q48" s="221"/>
      <c r="R48" s="221"/>
    </row>
    <row r="49" spans="1:18" s="143" customFormat="1" ht="51" customHeight="1">
      <c r="A49" s="158"/>
      <c r="B49" s="158"/>
      <c r="C49" s="158"/>
      <c r="D49" s="162"/>
      <c r="E49" s="214" t="s">
        <v>78</v>
      </c>
      <c r="F49" s="233">
        <v>2023</v>
      </c>
      <c r="G49" s="184">
        <v>80500</v>
      </c>
      <c r="H49" s="184">
        <v>80500</v>
      </c>
      <c r="I49" s="184">
        <v>80500</v>
      </c>
      <c r="J49" s="186">
        <v>100</v>
      </c>
      <c r="K49" s="221"/>
      <c r="L49" s="221"/>
      <c r="M49" s="221"/>
      <c r="N49" s="221"/>
      <c r="O49" s="221"/>
      <c r="P49" s="221"/>
      <c r="Q49" s="221"/>
      <c r="R49" s="221"/>
    </row>
    <row r="50" spans="1:18" s="140" customFormat="1" ht="42.75" customHeight="1" hidden="1">
      <c r="A50" s="156" t="s">
        <v>242</v>
      </c>
      <c r="B50" s="156" t="s">
        <v>243</v>
      </c>
      <c r="C50" s="156" t="s">
        <v>244</v>
      </c>
      <c r="D50" s="174" t="s">
        <v>246</v>
      </c>
      <c r="E50" s="155"/>
      <c r="F50" s="234"/>
      <c r="G50" s="185"/>
      <c r="H50" s="185"/>
      <c r="I50" s="185">
        <f>SUM(I51)</f>
        <v>0</v>
      </c>
      <c r="J50" s="187"/>
      <c r="K50" s="219"/>
      <c r="L50" s="221"/>
      <c r="M50" s="219"/>
      <c r="N50" s="219"/>
      <c r="O50" s="219"/>
      <c r="P50" s="219"/>
      <c r="Q50" s="219"/>
      <c r="R50" s="219"/>
    </row>
    <row r="51" spans="1:18" s="143" customFormat="1" ht="42.75" customHeight="1" hidden="1">
      <c r="A51" s="158"/>
      <c r="B51" s="158"/>
      <c r="C51" s="158"/>
      <c r="D51" s="162"/>
      <c r="E51" s="160"/>
      <c r="F51" s="233"/>
      <c r="G51" s="184"/>
      <c r="H51" s="184"/>
      <c r="I51" s="184"/>
      <c r="J51" s="186"/>
      <c r="K51" s="221"/>
      <c r="L51" s="221"/>
      <c r="M51" s="221"/>
      <c r="N51" s="221"/>
      <c r="O51" s="221"/>
      <c r="P51" s="221"/>
      <c r="Q51" s="221"/>
      <c r="R51" s="221"/>
    </row>
    <row r="52" spans="1:18" s="143" customFormat="1" ht="60" customHeight="1" hidden="1">
      <c r="A52" s="211" t="s">
        <v>436</v>
      </c>
      <c r="B52" s="211" t="s">
        <v>437</v>
      </c>
      <c r="C52" s="211" t="s">
        <v>244</v>
      </c>
      <c r="D52" s="212" t="s">
        <v>502</v>
      </c>
      <c r="E52" s="155"/>
      <c r="F52" s="234"/>
      <c r="G52" s="185"/>
      <c r="H52" s="185"/>
      <c r="I52" s="185">
        <f>SUM(I53:I55)</f>
        <v>0</v>
      </c>
      <c r="J52" s="187"/>
      <c r="K52" s="221"/>
      <c r="L52" s="221"/>
      <c r="M52" s="221"/>
      <c r="N52" s="221"/>
      <c r="O52" s="221"/>
      <c r="P52" s="221"/>
      <c r="Q52" s="221"/>
      <c r="R52" s="221"/>
    </row>
    <row r="53" spans="1:18" s="143" customFormat="1" ht="60" customHeight="1" hidden="1">
      <c r="A53" s="213"/>
      <c r="B53" s="213"/>
      <c r="C53" s="213"/>
      <c r="D53" s="214"/>
      <c r="E53" s="356"/>
      <c r="F53" s="233"/>
      <c r="G53" s="184"/>
      <c r="H53" s="184"/>
      <c r="I53" s="184"/>
      <c r="J53" s="186"/>
      <c r="K53" s="221"/>
      <c r="L53" s="221"/>
      <c r="M53" s="221"/>
      <c r="N53" s="221"/>
      <c r="O53" s="221"/>
      <c r="P53" s="221"/>
      <c r="Q53" s="221"/>
      <c r="R53" s="221"/>
    </row>
    <row r="54" spans="1:18" s="143" customFormat="1" ht="68.25" customHeight="1" hidden="1">
      <c r="A54" s="213"/>
      <c r="B54" s="213"/>
      <c r="C54" s="213"/>
      <c r="D54" s="214"/>
      <c r="E54" s="357"/>
      <c r="F54" s="233"/>
      <c r="G54" s="184"/>
      <c r="H54" s="184"/>
      <c r="I54" s="184"/>
      <c r="J54" s="186"/>
      <c r="K54" s="221"/>
      <c r="L54" s="221"/>
      <c r="M54" s="221"/>
      <c r="N54" s="221"/>
      <c r="O54" s="221"/>
      <c r="P54" s="221"/>
      <c r="Q54" s="221"/>
      <c r="R54" s="221"/>
    </row>
    <row r="55" spans="1:18" s="143" customFormat="1" ht="68.25" customHeight="1" hidden="1">
      <c r="A55" s="213"/>
      <c r="B55" s="213"/>
      <c r="C55" s="213"/>
      <c r="D55" s="214"/>
      <c r="E55" s="357"/>
      <c r="F55" s="233"/>
      <c r="G55" s="184"/>
      <c r="H55" s="184"/>
      <c r="I55" s="184"/>
      <c r="J55" s="186"/>
      <c r="K55" s="221"/>
      <c r="L55" s="221"/>
      <c r="M55" s="221"/>
      <c r="N55" s="221"/>
      <c r="O55" s="221"/>
      <c r="P55" s="221"/>
      <c r="Q55" s="221"/>
      <c r="R55" s="221"/>
    </row>
    <row r="56" spans="1:18" s="143" customFormat="1" ht="54.75" customHeight="1">
      <c r="A56" s="211" t="s">
        <v>503</v>
      </c>
      <c r="B56" s="211" t="s">
        <v>253</v>
      </c>
      <c r="C56" s="211" t="s">
        <v>254</v>
      </c>
      <c r="D56" s="212" t="s">
        <v>255</v>
      </c>
      <c r="E56" s="155"/>
      <c r="F56" s="234"/>
      <c r="G56" s="185"/>
      <c r="H56" s="185"/>
      <c r="I56" s="185">
        <f>SUM(I57)</f>
        <v>250000</v>
      </c>
      <c r="J56" s="187"/>
      <c r="K56" s="221"/>
      <c r="L56" s="221"/>
      <c r="M56" s="221"/>
      <c r="N56" s="221"/>
      <c r="O56" s="221"/>
      <c r="P56" s="221"/>
      <c r="Q56" s="221"/>
      <c r="R56" s="221"/>
    </row>
    <row r="57" spans="1:18" s="143" customFormat="1" ht="34.5" customHeight="1">
      <c r="A57" s="213"/>
      <c r="B57" s="213"/>
      <c r="C57" s="213"/>
      <c r="D57" s="214"/>
      <c r="E57" s="356" t="s">
        <v>71</v>
      </c>
      <c r="F57" s="233">
        <v>2023</v>
      </c>
      <c r="G57" s="184">
        <v>250000</v>
      </c>
      <c r="H57" s="184">
        <v>250000</v>
      </c>
      <c r="I57" s="184">
        <v>250000</v>
      </c>
      <c r="J57" s="186">
        <v>100</v>
      </c>
      <c r="K57" s="221"/>
      <c r="L57" s="221"/>
      <c r="M57" s="221"/>
      <c r="N57" s="221"/>
      <c r="O57" s="221"/>
      <c r="P57" s="221"/>
      <c r="Q57" s="221"/>
      <c r="R57" s="221"/>
    </row>
    <row r="58" spans="1:18" s="143" customFormat="1" ht="104.25" customHeight="1" hidden="1">
      <c r="A58" s="211" t="s">
        <v>413</v>
      </c>
      <c r="B58" s="211" t="s">
        <v>415</v>
      </c>
      <c r="C58" s="211" t="s">
        <v>254</v>
      </c>
      <c r="D58" s="212" t="s">
        <v>417</v>
      </c>
      <c r="E58" s="155"/>
      <c r="F58" s="234"/>
      <c r="G58" s="185"/>
      <c r="H58" s="185"/>
      <c r="I58" s="185">
        <f>SUM(I59)</f>
        <v>0</v>
      </c>
      <c r="J58" s="187"/>
      <c r="K58" s="221"/>
      <c r="L58" s="221"/>
      <c r="M58" s="221"/>
      <c r="N58" s="221"/>
      <c r="O58" s="221"/>
      <c r="P58" s="221"/>
      <c r="Q58" s="221"/>
      <c r="R58" s="221"/>
    </row>
    <row r="59" spans="1:18" s="143" customFormat="1" ht="42.75" customHeight="1" hidden="1">
      <c r="A59" s="213"/>
      <c r="B59" s="213"/>
      <c r="C59" s="213"/>
      <c r="D59" s="214"/>
      <c r="E59" s="160"/>
      <c r="F59" s="233"/>
      <c r="G59" s="184"/>
      <c r="H59" s="184"/>
      <c r="I59" s="184"/>
      <c r="J59" s="186"/>
      <c r="K59" s="316"/>
      <c r="L59" s="221"/>
      <c r="M59" s="221"/>
      <c r="N59" s="221"/>
      <c r="O59" s="221"/>
      <c r="P59" s="221"/>
      <c r="Q59" s="221"/>
      <c r="R59" s="221"/>
    </row>
    <row r="60" spans="1:18" s="140" customFormat="1" ht="78" customHeight="1" hidden="1">
      <c r="A60" s="156" t="s">
        <v>414</v>
      </c>
      <c r="B60" s="156" t="s">
        <v>416</v>
      </c>
      <c r="C60" s="156" t="s">
        <v>254</v>
      </c>
      <c r="D60" s="157" t="s">
        <v>418</v>
      </c>
      <c r="E60" s="155"/>
      <c r="F60" s="232"/>
      <c r="G60" s="185"/>
      <c r="H60" s="185"/>
      <c r="I60" s="185">
        <f>SUM(I61)</f>
        <v>0</v>
      </c>
      <c r="J60" s="187"/>
      <c r="K60" s="219"/>
      <c r="L60" s="221"/>
      <c r="M60" s="219"/>
      <c r="N60" s="219"/>
      <c r="O60" s="219"/>
      <c r="P60" s="219"/>
      <c r="Q60" s="219"/>
      <c r="R60" s="219"/>
    </row>
    <row r="61" spans="1:18" s="143" customFormat="1" ht="53.25" customHeight="1" hidden="1">
      <c r="A61" s="158"/>
      <c r="B61" s="158"/>
      <c r="C61" s="158"/>
      <c r="D61" s="162"/>
      <c r="E61" s="160"/>
      <c r="F61" s="233"/>
      <c r="G61" s="184"/>
      <c r="H61" s="184"/>
      <c r="I61" s="184"/>
      <c r="J61" s="186"/>
      <c r="K61" s="221"/>
      <c r="L61" s="221"/>
      <c r="M61" s="221"/>
      <c r="N61" s="221"/>
      <c r="O61" s="221"/>
      <c r="P61" s="221"/>
      <c r="Q61" s="221"/>
      <c r="R61" s="221"/>
    </row>
    <row r="62" spans="1:18" s="173" customFormat="1" ht="65.25" customHeight="1" hidden="1">
      <c r="A62" s="145" t="s">
        <v>268</v>
      </c>
      <c r="B62" s="145" t="s">
        <v>269</v>
      </c>
      <c r="C62" s="145" t="s">
        <v>254</v>
      </c>
      <c r="D62" s="157" t="s">
        <v>270</v>
      </c>
      <c r="E62" s="154"/>
      <c r="F62" s="232"/>
      <c r="G62" s="170"/>
      <c r="H62" s="170"/>
      <c r="I62" s="170"/>
      <c r="J62" s="138"/>
      <c r="K62" s="224"/>
      <c r="L62" s="221"/>
      <c r="M62" s="224"/>
      <c r="N62" s="224"/>
      <c r="O62" s="224"/>
      <c r="P62" s="224"/>
      <c r="Q62" s="224"/>
      <c r="R62" s="224"/>
    </row>
    <row r="63" spans="1:18" s="188" customFormat="1" ht="31.5" customHeight="1" hidden="1">
      <c r="A63" s="148"/>
      <c r="B63" s="148"/>
      <c r="C63" s="148"/>
      <c r="D63" s="159"/>
      <c r="E63" s="151"/>
      <c r="F63" s="233"/>
      <c r="G63" s="171"/>
      <c r="H63" s="171"/>
      <c r="I63" s="171"/>
      <c r="J63" s="141"/>
      <c r="K63" s="225"/>
      <c r="L63" s="221"/>
      <c r="M63" s="225"/>
      <c r="N63" s="225"/>
      <c r="O63" s="225"/>
      <c r="P63" s="225"/>
      <c r="Q63" s="225"/>
      <c r="R63" s="225"/>
    </row>
    <row r="64" spans="1:18" s="140" customFormat="1" ht="42" customHeight="1" hidden="1">
      <c r="A64" s="176"/>
      <c r="B64" s="129" t="s">
        <v>394</v>
      </c>
      <c r="C64" s="129"/>
      <c r="D64" s="131" t="s">
        <v>395</v>
      </c>
      <c r="E64" s="183"/>
      <c r="F64" s="177"/>
      <c r="G64" s="181"/>
      <c r="H64" s="181"/>
      <c r="I64" s="181">
        <f>I65</f>
        <v>0</v>
      </c>
      <c r="J64" s="182"/>
      <c r="K64" s="219"/>
      <c r="L64" s="221"/>
      <c r="M64" s="219"/>
      <c r="N64" s="220"/>
      <c r="O64" s="219"/>
      <c r="P64" s="219"/>
      <c r="Q64" s="219"/>
      <c r="R64" s="219"/>
    </row>
    <row r="65" spans="1:18" s="188" customFormat="1" ht="68.25" customHeight="1" hidden="1">
      <c r="A65" s="156" t="s">
        <v>431</v>
      </c>
      <c r="B65" s="156" t="s">
        <v>396</v>
      </c>
      <c r="C65" s="156" t="s">
        <v>224</v>
      </c>
      <c r="D65" s="157" t="s">
        <v>397</v>
      </c>
      <c r="E65" s="147"/>
      <c r="F65" s="232"/>
      <c r="G65" s="170"/>
      <c r="H65" s="170"/>
      <c r="I65" s="170">
        <f>SUM(I66:I68)</f>
        <v>0</v>
      </c>
      <c r="J65" s="139"/>
      <c r="K65" s="225"/>
      <c r="L65" s="221"/>
      <c r="M65" s="225"/>
      <c r="N65" s="225"/>
      <c r="O65" s="225"/>
      <c r="P65" s="225"/>
      <c r="Q65" s="225"/>
      <c r="R65" s="225"/>
    </row>
    <row r="66" spans="1:18" s="188" customFormat="1" ht="43.5" customHeight="1" hidden="1">
      <c r="A66" s="148"/>
      <c r="B66" s="148"/>
      <c r="C66" s="148"/>
      <c r="D66" s="149"/>
      <c r="E66" s="150"/>
      <c r="F66" s="233"/>
      <c r="G66" s="171"/>
      <c r="H66" s="171"/>
      <c r="I66" s="171"/>
      <c r="J66" s="142"/>
      <c r="K66" s="225"/>
      <c r="L66" s="221"/>
      <c r="M66" s="225"/>
      <c r="N66" s="225"/>
      <c r="O66" s="225"/>
      <c r="P66" s="225"/>
      <c r="Q66" s="225"/>
      <c r="R66" s="225"/>
    </row>
    <row r="67" spans="1:18" s="188" customFormat="1" ht="43.5" customHeight="1" hidden="1">
      <c r="A67" s="148"/>
      <c r="B67" s="148"/>
      <c r="C67" s="148"/>
      <c r="D67" s="149"/>
      <c r="E67" s="150"/>
      <c r="F67" s="233"/>
      <c r="G67" s="171"/>
      <c r="H67" s="171"/>
      <c r="I67" s="171"/>
      <c r="J67" s="142"/>
      <c r="K67" s="225"/>
      <c r="L67" s="221"/>
      <c r="M67" s="225"/>
      <c r="N67" s="225"/>
      <c r="O67" s="225"/>
      <c r="P67" s="225"/>
      <c r="Q67" s="225"/>
      <c r="R67" s="225"/>
    </row>
    <row r="68" spans="1:18" s="188" customFormat="1" ht="47.25" customHeight="1" hidden="1">
      <c r="A68" s="148"/>
      <c r="B68" s="148"/>
      <c r="C68" s="148"/>
      <c r="D68" s="149"/>
      <c r="E68" s="150"/>
      <c r="F68" s="233"/>
      <c r="G68" s="171"/>
      <c r="H68" s="171"/>
      <c r="I68" s="171"/>
      <c r="J68" s="142"/>
      <c r="K68" s="225"/>
      <c r="L68" s="221"/>
      <c r="M68" s="225"/>
      <c r="N68" s="225"/>
      <c r="O68" s="225"/>
      <c r="P68" s="225"/>
      <c r="Q68" s="225"/>
      <c r="R68" s="225"/>
    </row>
    <row r="69" spans="1:19" s="18" customFormat="1" ht="39" customHeight="1" hidden="1">
      <c r="A69" s="410" t="s">
        <v>313</v>
      </c>
      <c r="B69" s="410"/>
      <c r="C69" s="410"/>
      <c r="D69" s="412" t="s">
        <v>427</v>
      </c>
      <c r="E69" s="412"/>
      <c r="F69" s="417"/>
      <c r="G69" s="415"/>
      <c r="H69" s="415"/>
      <c r="I69" s="415">
        <f>I70</f>
        <v>0</v>
      </c>
      <c r="J69" s="418"/>
      <c r="K69" s="226"/>
      <c r="L69" s="221"/>
      <c r="M69" s="226"/>
      <c r="N69" s="226"/>
      <c r="O69" s="226"/>
      <c r="P69" s="226"/>
      <c r="Q69" s="226"/>
      <c r="R69" s="226"/>
      <c r="S69" s="19"/>
    </row>
    <row r="70" spans="1:19" s="18" customFormat="1" ht="39" customHeight="1" hidden="1">
      <c r="A70" s="410" t="s">
        <v>314</v>
      </c>
      <c r="B70" s="410"/>
      <c r="C70" s="410"/>
      <c r="D70" s="412" t="s">
        <v>427</v>
      </c>
      <c r="E70" s="412"/>
      <c r="F70" s="417"/>
      <c r="G70" s="415"/>
      <c r="H70" s="415"/>
      <c r="I70" s="415">
        <f>I74+I71</f>
        <v>0</v>
      </c>
      <c r="J70" s="418"/>
      <c r="K70" s="226"/>
      <c r="L70" s="221"/>
      <c r="M70" s="226"/>
      <c r="N70" s="226"/>
      <c r="O70" s="226"/>
      <c r="P70" s="226"/>
      <c r="Q70" s="226"/>
      <c r="R70" s="226"/>
      <c r="S70" s="19"/>
    </row>
    <row r="71" spans="1:19" s="16" customFormat="1" ht="31.5" customHeight="1" hidden="1">
      <c r="A71" s="175"/>
      <c r="B71" s="176" t="s">
        <v>375</v>
      </c>
      <c r="C71" s="177"/>
      <c r="D71" s="178" t="s">
        <v>376</v>
      </c>
      <c r="E71" s="179"/>
      <c r="F71" s="177"/>
      <c r="G71" s="181"/>
      <c r="H71" s="181"/>
      <c r="I71" s="181">
        <f>I72</f>
        <v>0</v>
      </c>
      <c r="J71" s="182"/>
      <c r="K71" s="217"/>
      <c r="L71" s="221"/>
      <c r="M71" s="218"/>
      <c r="N71" s="218"/>
      <c r="O71" s="217"/>
      <c r="P71" s="217"/>
      <c r="Q71" s="217"/>
      <c r="R71" s="217"/>
      <c r="S71" s="17"/>
    </row>
    <row r="72" spans="1:18" s="140" customFormat="1" ht="74.25" customHeight="1" hidden="1">
      <c r="A72" s="156" t="s">
        <v>315</v>
      </c>
      <c r="B72" s="156" t="s">
        <v>237</v>
      </c>
      <c r="C72" s="156" t="s">
        <v>176</v>
      </c>
      <c r="D72" s="157" t="s">
        <v>504</v>
      </c>
      <c r="E72" s="155"/>
      <c r="F72" s="232"/>
      <c r="G72" s="170"/>
      <c r="H72" s="170"/>
      <c r="I72" s="170">
        <f>I73</f>
        <v>0</v>
      </c>
      <c r="J72" s="139"/>
      <c r="K72" s="219"/>
      <c r="L72" s="221"/>
      <c r="M72" s="220"/>
      <c r="N72" s="220"/>
      <c r="O72" s="219"/>
      <c r="P72" s="219"/>
      <c r="Q72" s="219"/>
      <c r="R72" s="219"/>
    </row>
    <row r="73" spans="1:18" s="143" customFormat="1" ht="45" customHeight="1" hidden="1">
      <c r="A73" s="158"/>
      <c r="B73" s="158"/>
      <c r="C73" s="158"/>
      <c r="D73" s="159"/>
      <c r="E73" s="169"/>
      <c r="F73" s="233"/>
      <c r="G73" s="171"/>
      <c r="H73" s="171"/>
      <c r="I73" s="171"/>
      <c r="J73" s="142"/>
      <c r="K73" s="221"/>
      <c r="L73" s="221"/>
      <c r="M73" s="221"/>
      <c r="N73" s="222"/>
      <c r="O73" s="221"/>
      <c r="P73" s="221"/>
      <c r="Q73" s="221"/>
      <c r="R73" s="221"/>
    </row>
    <row r="74" spans="1:19" s="18" customFormat="1" ht="39" customHeight="1" hidden="1">
      <c r="A74" s="176"/>
      <c r="B74" s="129" t="s">
        <v>428</v>
      </c>
      <c r="C74" s="129"/>
      <c r="D74" s="130" t="s">
        <v>429</v>
      </c>
      <c r="E74" s="179"/>
      <c r="F74" s="177"/>
      <c r="G74" s="181"/>
      <c r="H74" s="181"/>
      <c r="I74" s="181">
        <f>I75</f>
        <v>0</v>
      </c>
      <c r="J74" s="180"/>
      <c r="K74" s="226"/>
      <c r="L74" s="221"/>
      <c r="M74" s="226"/>
      <c r="N74" s="226"/>
      <c r="O74" s="226"/>
      <c r="P74" s="226"/>
      <c r="Q74" s="226"/>
      <c r="R74" s="226"/>
      <c r="S74" s="19"/>
    </row>
    <row r="75" spans="1:18" s="173" customFormat="1" ht="43.5" customHeight="1" hidden="1">
      <c r="A75" s="189" t="s">
        <v>472</v>
      </c>
      <c r="B75" s="190">
        <v>9770</v>
      </c>
      <c r="C75" s="189" t="s">
        <v>180</v>
      </c>
      <c r="D75" s="174" t="s">
        <v>474</v>
      </c>
      <c r="E75" s="154"/>
      <c r="F75" s="235"/>
      <c r="G75" s="191"/>
      <c r="H75" s="191"/>
      <c r="I75" s="191">
        <f>SUM(I76:I78)</f>
        <v>0</v>
      </c>
      <c r="J75" s="192"/>
      <c r="K75" s="224"/>
      <c r="L75" s="221"/>
      <c r="M75" s="224"/>
      <c r="N75" s="224"/>
      <c r="O75" s="224"/>
      <c r="P75" s="224"/>
      <c r="Q75" s="224"/>
      <c r="R75" s="224"/>
    </row>
    <row r="76" spans="1:19" s="18" customFormat="1" ht="37.5" customHeight="1" hidden="1">
      <c r="A76" s="152"/>
      <c r="B76" s="153"/>
      <c r="C76" s="152"/>
      <c r="D76" s="150"/>
      <c r="E76" s="151" t="s">
        <v>85</v>
      </c>
      <c r="F76" s="233"/>
      <c r="G76" s="172"/>
      <c r="H76" s="172"/>
      <c r="I76" s="172"/>
      <c r="J76" s="163"/>
      <c r="K76" s="226"/>
      <c r="L76" s="221"/>
      <c r="M76" s="226"/>
      <c r="N76" s="226"/>
      <c r="O76" s="226"/>
      <c r="P76" s="226"/>
      <c r="Q76" s="226"/>
      <c r="R76" s="227"/>
      <c r="S76" s="19"/>
    </row>
    <row r="77" spans="1:19" s="18" customFormat="1" ht="37.5" customHeight="1" hidden="1">
      <c r="A77" s="152"/>
      <c r="B77" s="153"/>
      <c r="C77" s="152"/>
      <c r="D77" s="150"/>
      <c r="E77" s="151"/>
      <c r="F77" s="233"/>
      <c r="G77" s="172"/>
      <c r="H77" s="172"/>
      <c r="I77" s="172"/>
      <c r="J77" s="163"/>
      <c r="K77" s="226"/>
      <c r="L77" s="221"/>
      <c r="M77" s="226"/>
      <c r="N77" s="226"/>
      <c r="O77" s="226"/>
      <c r="P77" s="226"/>
      <c r="Q77" s="226"/>
      <c r="R77" s="227"/>
      <c r="S77" s="19"/>
    </row>
    <row r="78" spans="1:19" s="18" customFormat="1" ht="37.5" customHeight="1" hidden="1">
      <c r="A78" s="152"/>
      <c r="B78" s="153"/>
      <c r="C78" s="152"/>
      <c r="D78" s="150"/>
      <c r="E78" s="151"/>
      <c r="F78" s="233"/>
      <c r="G78" s="172">
        <f>280000-280000</f>
        <v>0</v>
      </c>
      <c r="H78" s="172"/>
      <c r="I78" s="172">
        <f>280000-280000</f>
        <v>0</v>
      </c>
      <c r="J78" s="163">
        <v>100</v>
      </c>
      <c r="K78" s="226"/>
      <c r="L78" s="221"/>
      <c r="M78" s="226"/>
      <c r="N78" s="226"/>
      <c r="O78" s="226"/>
      <c r="P78" s="226"/>
      <c r="Q78" s="226"/>
      <c r="R78" s="227"/>
      <c r="S78" s="19"/>
    </row>
    <row r="79" spans="1:18" s="355" customFormat="1" ht="33" customHeight="1">
      <c r="A79" s="350" t="s">
        <v>128</v>
      </c>
      <c r="B79" s="350" t="s">
        <v>128</v>
      </c>
      <c r="C79" s="350" t="s">
        <v>128</v>
      </c>
      <c r="D79" s="351" t="s">
        <v>319</v>
      </c>
      <c r="E79" s="350" t="s">
        <v>128</v>
      </c>
      <c r="F79" s="350" t="s">
        <v>128</v>
      </c>
      <c r="G79" s="352"/>
      <c r="H79" s="352"/>
      <c r="I79" s="353">
        <f>I12+I44+I69</f>
        <v>53667350</v>
      </c>
      <c r="J79" s="350" t="s">
        <v>128</v>
      </c>
      <c r="K79" s="354"/>
      <c r="L79" s="221"/>
      <c r="M79" s="354"/>
      <c r="N79" s="354"/>
      <c r="O79" s="354"/>
      <c r="P79" s="354"/>
      <c r="Q79" s="354"/>
      <c r="R79" s="354"/>
    </row>
    <row r="80" spans="1:18" s="5" customFormat="1" ht="18.75">
      <c r="A80" s="164"/>
      <c r="B80" s="164"/>
      <c r="C80" s="164"/>
      <c r="D80" s="165"/>
      <c r="E80" s="166"/>
      <c r="F80" s="164"/>
      <c r="G80" s="166"/>
      <c r="H80" s="166"/>
      <c r="I80" s="167"/>
      <c r="J80" s="168"/>
      <c r="K80" s="228"/>
      <c r="L80" s="228"/>
      <c r="M80" s="229"/>
      <c r="N80" s="228"/>
      <c r="O80" s="228"/>
      <c r="P80" s="228"/>
      <c r="Q80" s="228"/>
      <c r="R80" s="39"/>
    </row>
    <row r="81" spans="1:12" s="5" customFormat="1" ht="39.75" customHeight="1">
      <c r="A81" s="550" t="str">
        <f>додаток1!A132</f>
        <v>Секретар міської ради                                                                        Наталія  ІВАНЮТА</v>
      </c>
      <c r="B81" s="550"/>
      <c r="C81" s="550"/>
      <c r="D81" s="550"/>
      <c r="E81" s="550"/>
      <c r="F81" s="550"/>
      <c r="G81" s="550"/>
      <c r="H81" s="550"/>
      <c r="I81" s="550"/>
      <c r="J81" s="550"/>
      <c r="K81" s="39"/>
      <c r="L81" s="39"/>
    </row>
    <row r="82" spans="1:10" s="5" customFormat="1" ht="21">
      <c r="A82" s="28"/>
      <c r="B82" s="28"/>
      <c r="C82" s="28"/>
      <c r="D82" s="29"/>
      <c r="E82" s="30"/>
      <c r="F82" s="28"/>
      <c r="G82" s="30"/>
      <c r="H82" s="30"/>
      <c r="I82" s="30"/>
      <c r="J82" s="40"/>
    </row>
    <row r="83" spans="1:10" s="5" customFormat="1" ht="21">
      <c r="A83" s="28"/>
      <c r="B83" s="28"/>
      <c r="C83" s="28"/>
      <c r="D83" s="29"/>
      <c r="E83" s="30"/>
      <c r="F83" s="28"/>
      <c r="G83" s="30"/>
      <c r="H83" s="30"/>
      <c r="I83" s="30"/>
      <c r="J83" s="30"/>
    </row>
    <row r="84" spans="1:10" s="5" customFormat="1" ht="21">
      <c r="A84" s="28"/>
      <c r="B84" s="28"/>
      <c r="C84" s="28"/>
      <c r="D84" s="29"/>
      <c r="E84" s="30"/>
      <c r="F84" s="28"/>
      <c r="G84" s="30"/>
      <c r="H84" s="30"/>
      <c r="I84" s="30"/>
      <c r="J84" s="30"/>
    </row>
    <row r="85" spans="1:10" s="5" customFormat="1" ht="21">
      <c r="A85" s="28"/>
      <c r="B85" s="28"/>
      <c r="C85" s="28"/>
      <c r="D85" s="29"/>
      <c r="E85" s="30"/>
      <c r="F85" s="28"/>
      <c r="G85" s="30"/>
      <c r="H85" s="30"/>
      <c r="I85" s="30"/>
      <c r="J85" s="30"/>
    </row>
    <row r="86" spans="1:10" s="5" customFormat="1" ht="21">
      <c r="A86" s="28"/>
      <c r="B86" s="28"/>
      <c r="C86" s="28"/>
      <c r="D86" s="29"/>
      <c r="E86" s="30"/>
      <c r="F86" s="28"/>
      <c r="G86" s="30"/>
      <c r="H86" s="30"/>
      <c r="I86" s="30"/>
      <c r="J86" s="30"/>
    </row>
    <row r="87" spans="1:10" s="5" customFormat="1" ht="21">
      <c r="A87" s="28"/>
      <c r="B87" s="28"/>
      <c r="C87" s="28"/>
      <c r="D87" s="29"/>
      <c r="E87" s="30"/>
      <c r="F87" s="28"/>
      <c r="G87" s="30"/>
      <c r="H87" s="30"/>
      <c r="I87" s="30"/>
      <c r="J87" s="30"/>
    </row>
    <row r="88" spans="1:10" s="5" customFormat="1" ht="21">
      <c r="A88" s="28"/>
      <c r="B88" s="28"/>
      <c r="C88" s="28"/>
      <c r="D88" s="29"/>
      <c r="E88" s="30"/>
      <c r="F88" s="28"/>
      <c r="G88" s="30"/>
      <c r="H88" s="30"/>
      <c r="I88" s="30"/>
      <c r="J88" s="30"/>
    </row>
    <row r="89" spans="1:10" s="5" customFormat="1" ht="21">
      <c r="A89" s="28"/>
      <c r="B89" s="28"/>
      <c r="C89" s="28"/>
      <c r="D89" s="29"/>
      <c r="E89" s="30"/>
      <c r="F89" s="28"/>
      <c r="G89" s="30"/>
      <c r="H89" s="30"/>
      <c r="I89" s="30"/>
      <c r="J89" s="30"/>
    </row>
    <row r="90" spans="1:10" s="5" customFormat="1" ht="21">
      <c r="A90" s="28"/>
      <c r="B90" s="28"/>
      <c r="C90" s="28"/>
      <c r="D90" s="29"/>
      <c r="E90" s="30"/>
      <c r="F90" s="28"/>
      <c r="G90" s="30"/>
      <c r="H90" s="30"/>
      <c r="I90" s="30"/>
      <c r="J90" s="30"/>
    </row>
    <row r="91" spans="1:10" s="5" customFormat="1" ht="21">
      <c r="A91" s="28"/>
      <c r="B91" s="28"/>
      <c r="C91" s="28"/>
      <c r="D91" s="29"/>
      <c r="E91" s="30"/>
      <c r="F91" s="28"/>
      <c r="G91" s="30"/>
      <c r="H91" s="30"/>
      <c r="I91" s="30"/>
      <c r="J91" s="30"/>
    </row>
    <row r="92" spans="1:10" s="5" customFormat="1" ht="21">
      <c r="A92" s="28"/>
      <c r="B92" s="28"/>
      <c r="C92" s="28"/>
      <c r="D92" s="29"/>
      <c r="E92" s="30"/>
      <c r="F92" s="28"/>
      <c r="G92" s="30"/>
      <c r="H92" s="30"/>
      <c r="I92" s="30"/>
      <c r="J92" s="30"/>
    </row>
    <row r="93" spans="1:10" s="5" customFormat="1" ht="21">
      <c r="A93" s="28"/>
      <c r="B93" s="28"/>
      <c r="C93" s="28"/>
      <c r="D93" s="29"/>
      <c r="E93" s="30"/>
      <c r="F93" s="28"/>
      <c r="G93" s="30"/>
      <c r="H93" s="30"/>
      <c r="I93" s="30"/>
      <c r="J93" s="30"/>
    </row>
    <row r="94" spans="1:10" s="5" customFormat="1" ht="21">
      <c r="A94" s="28"/>
      <c r="B94" s="28"/>
      <c r="C94" s="28"/>
      <c r="D94" s="29"/>
      <c r="E94" s="30"/>
      <c r="F94" s="28"/>
      <c r="G94" s="30"/>
      <c r="H94" s="30"/>
      <c r="I94" s="30"/>
      <c r="J94" s="30"/>
    </row>
    <row r="95" spans="1:10" s="5" customFormat="1" ht="21">
      <c r="A95" s="28"/>
      <c r="B95" s="28"/>
      <c r="C95" s="28"/>
      <c r="D95" s="29"/>
      <c r="E95" s="30"/>
      <c r="F95" s="28"/>
      <c r="G95" s="30"/>
      <c r="H95" s="30"/>
      <c r="I95" s="30"/>
      <c r="J95" s="30"/>
    </row>
    <row r="96" spans="1:10" s="5" customFormat="1" ht="21">
      <c r="A96" s="28"/>
      <c r="B96" s="28"/>
      <c r="C96" s="28"/>
      <c r="D96" s="29"/>
      <c r="E96" s="30"/>
      <c r="F96" s="28"/>
      <c r="G96" s="30"/>
      <c r="H96" s="30"/>
      <c r="I96" s="30"/>
      <c r="J96" s="30"/>
    </row>
    <row r="97" spans="1:10" s="5" customFormat="1" ht="21">
      <c r="A97" s="28"/>
      <c r="B97" s="28"/>
      <c r="C97" s="28"/>
      <c r="D97" s="29"/>
      <c r="E97" s="30"/>
      <c r="F97" s="28"/>
      <c r="G97" s="30"/>
      <c r="H97" s="30"/>
      <c r="I97" s="30"/>
      <c r="J97" s="30"/>
    </row>
    <row r="98" spans="1:10" s="5" customFormat="1" ht="21">
      <c r="A98" s="28"/>
      <c r="B98" s="28"/>
      <c r="C98" s="28"/>
      <c r="D98" s="29"/>
      <c r="E98" s="30"/>
      <c r="F98" s="28"/>
      <c r="G98" s="30"/>
      <c r="H98" s="30"/>
      <c r="I98" s="30"/>
      <c r="J98" s="30"/>
    </row>
    <row r="99" spans="1:10" s="5" customFormat="1" ht="21">
      <c r="A99" s="28"/>
      <c r="B99" s="28"/>
      <c r="C99" s="28"/>
      <c r="D99" s="29"/>
      <c r="E99" s="30"/>
      <c r="F99" s="28"/>
      <c r="G99" s="30"/>
      <c r="H99" s="30"/>
      <c r="I99" s="30"/>
      <c r="J99" s="30"/>
    </row>
    <row r="100" spans="1:10" s="5" customFormat="1" ht="21">
      <c r="A100" s="28"/>
      <c r="B100" s="28"/>
      <c r="C100" s="28"/>
      <c r="D100" s="29"/>
      <c r="E100" s="30"/>
      <c r="F100" s="28"/>
      <c r="G100" s="30"/>
      <c r="H100" s="30"/>
      <c r="I100" s="30"/>
      <c r="J100" s="30"/>
    </row>
    <row r="101" spans="1:10" s="5" customFormat="1" ht="21">
      <c r="A101" s="28"/>
      <c r="B101" s="28"/>
      <c r="C101" s="28"/>
      <c r="D101" s="29"/>
      <c r="E101" s="30"/>
      <c r="F101" s="28"/>
      <c r="G101" s="30"/>
      <c r="H101" s="30"/>
      <c r="I101" s="30"/>
      <c r="J101" s="30"/>
    </row>
    <row r="102" spans="1:10" s="5" customFormat="1" ht="21">
      <c r="A102" s="28"/>
      <c r="B102" s="28"/>
      <c r="C102" s="28"/>
      <c r="D102" s="29"/>
      <c r="E102" s="30"/>
      <c r="F102" s="28"/>
      <c r="G102" s="30"/>
      <c r="H102" s="30"/>
      <c r="I102" s="30"/>
      <c r="J102" s="30"/>
    </row>
    <row r="103" spans="1:10" s="5" customFormat="1" ht="21">
      <c r="A103" s="28"/>
      <c r="B103" s="28"/>
      <c r="C103" s="28"/>
      <c r="D103" s="29"/>
      <c r="E103" s="30"/>
      <c r="F103" s="28"/>
      <c r="G103" s="30"/>
      <c r="H103" s="30"/>
      <c r="I103" s="30"/>
      <c r="J103" s="30"/>
    </row>
    <row r="104" spans="1:10" s="5" customFormat="1" ht="21">
      <c r="A104" s="28"/>
      <c r="B104" s="28"/>
      <c r="C104" s="28"/>
      <c r="D104" s="29"/>
      <c r="E104" s="30"/>
      <c r="F104" s="28"/>
      <c r="G104" s="30"/>
      <c r="H104" s="30"/>
      <c r="I104" s="30"/>
      <c r="J104" s="30"/>
    </row>
    <row r="105" spans="1:10" s="5" customFormat="1" ht="21">
      <c r="A105" s="28"/>
      <c r="B105" s="28"/>
      <c r="C105" s="28"/>
      <c r="D105" s="29"/>
      <c r="E105" s="30"/>
      <c r="F105" s="28"/>
      <c r="G105" s="30"/>
      <c r="H105" s="30"/>
      <c r="I105" s="30"/>
      <c r="J105" s="30"/>
    </row>
    <row r="106" spans="1:10" s="5" customFormat="1" ht="21">
      <c r="A106" s="28"/>
      <c r="B106" s="28"/>
      <c r="C106" s="28"/>
      <c r="D106" s="29"/>
      <c r="E106" s="30"/>
      <c r="F106" s="28"/>
      <c r="G106" s="30"/>
      <c r="H106" s="30"/>
      <c r="I106" s="30"/>
      <c r="J106" s="30"/>
    </row>
    <row r="107" spans="1:10" s="5" customFormat="1" ht="21">
      <c r="A107" s="28"/>
      <c r="B107" s="28"/>
      <c r="C107" s="28"/>
      <c r="D107" s="29"/>
      <c r="E107" s="30"/>
      <c r="F107" s="28"/>
      <c r="G107" s="30"/>
      <c r="H107" s="30"/>
      <c r="I107" s="30"/>
      <c r="J107" s="30"/>
    </row>
    <row r="108" spans="1:10" s="5" customFormat="1" ht="21">
      <c r="A108" s="28"/>
      <c r="B108" s="28"/>
      <c r="C108" s="28"/>
      <c r="D108" s="29"/>
      <c r="E108" s="30"/>
      <c r="F108" s="28"/>
      <c r="G108" s="30"/>
      <c r="H108" s="30"/>
      <c r="I108" s="30"/>
      <c r="J108" s="30"/>
    </row>
    <row r="109" spans="1:10" s="5" customFormat="1" ht="21">
      <c r="A109" s="28"/>
      <c r="B109" s="28"/>
      <c r="C109" s="28"/>
      <c r="D109" s="29"/>
      <c r="E109" s="30"/>
      <c r="F109" s="28"/>
      <c r="G109" s="30"/>
      <c r="H109" s="30"/>
      <c r="I109" s="30"/>
      <c r="J109" s="30"/>
    </row>
    <row r="110" spans="1:10" s="5" customFormat="1" ht="21">
      <c r="A110" s="28"/>
      <c r="B110" s="28"/>
      <c r="C110" s="28"/>
      <c r="D110" s="29"/>
      <c r="E110" s="30"/>
      <c r="F110" s="28"/>
      <c r="G110" s="30"/>
      <c r="H110" s="30"/>
      <c r="I110" s="30"/>
      <c r="J110" s="30"/>
    </row>
    <row r="111" spans="1:10" s="5" customFormat="1" ht="21">
      <c r="A111" s="28"/>
      <c r="B111" s="28"/>
      <c r="C111" s="28"/>
      <c r="D111" s="29"/>
      <c r="E111" s="30"/>
      <c r="F111" s="28"/>
      <c r="G111" s="30"/>
      <c r="H111" s="30"/>
      <c r="I111" s="30"/>
      <c r="J111" s="30"/>
    </row>
    <row r="112" spans="1:10" s="5" customFormat="1" ht="21">
      <c r="A112" s="28"/>
      <c r="B112" s="28"/>
      <c r="C112" s="28"/>
      <c r="D112" s="29"/>
      <c r="E112" s="30"/>
      <c r="F112" s="28"/>
      <c r="G112" s="30"/>
      <c r="H112" s="30"/>
      <c r="I112" s="30"/>
      <c r="J112" s="30"/>
    </row>
    <row r="113" spans="1:10" s="5" customFormat="1" ht="21">
      <c r="A113" s="28"/>
      <c r="B113" s="28"/>
      <c r="C113" s="28"/>
      <c r="D113" s="29"/>
      <c r="E113" s="30"/>
      <c r="F113" s="28"/>
      <c r="G113" s="30"/>
      <c r="H113" s="30"/>
      <c r="I113" s="30"/>
      <c r="J113" s="30"/>
    </row>
  </sheetData>
  <sheetProtection/>
  <mergeCells count="16">
    <mergeCell ref="Q9:Q10"/>
    <mergeCell ref="R9:R10"/>
    <mergeCell ref="M9:M10"/>
    <mergeCell ref="A7:B7"/>
    <mergeCell ref="A8:B8"/>
    <mergeCell ref="K9:K10"/>
    <mergeCell ref="N9:N10"/>
    <mergeCell ref="O9:O10"/>
    <mergeCell ref="P9:P10"/>
    <mergeCell ref="A81:J81"/>
    <mergeCell ref="F1:J1"/>
    <mergeCell ref="F2:J2"/>
    <mergeCell ref="F3:J3"/>
    <mergeCell ref="F4:J4"/>
    <mergeCell ref="F5:J5"/>
    <mergeCell ref="C6:H6"/>
  </mergeCells>
  <printOptions/>
  <pageMargins left="0.4724409448818898" right="0.2362204724409449" top="0.61" bottom="0.34" header="0.11811023622047245" footer="0"/>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205"/>
  <sheetViews>
    <sheetView showZeros="0" tabSelected="1" zoomScale="65" zoomScaleNormal="65" zoomScalePageLayoutView="0" workbookViewId="0" topLeftCell="A4">
      <pane xSplit="1" ySplit="10" topLeftCell="E87" activePane="bottomRight" state="frozen"/>
      <selection pane="topLeft" activeCell="A4" sqref="A4"/>
      <selection pane="topRight" activeCell="B4" sqref="B4"/>
      <selection pane="bottomLeft" activeCell="A14" sqref="A14"/>
      <selection pane="bottomRight" activeCell="E91" sqref="E91"/>
    </sheetView>
  </sheetViews>
  <sheetFormatPr defaultColWidth="8.875" defaultRowHeight="12.75"/>
  <cols>
    <col min="1" max="1" width="14.375" style="247" customWidth="1"/>
    <col min="2" max="2" width="13.375" style="248" customWidth="1"/>
    <col min="3" max="3" width="12.75390625" style="248" customWidth="1"/>
    <col min="4" max="4" width="53.25390625" style="239" customWidth="1"/>
    <col min="5" max="5" width="71.125" style="244" customWidth="1"/>
    <col min="6" max="6" width="30.25390625" style="236" customWidth="1"/>
    <col min="7" max="7" width="18.625" style="244" customWidth="1"/>
    <col min="8" max="8" width="18.625" style="291" customWidth="1"/>
    <col min="9" max="10" width="18.625" style="244" customWidth="1"/>
    <col min="11" max="16384" width="8.875" style="244" customWidth="1"/>
  </cols>
  <sheetData>
    <row r="1" spans="6:10" ht="18">
      <c r="F1" s="249"/>
      <c r="G1" s="560" t="s">
        <v>354</v>
      </c>
      <c r="H1" s="561"/>
      <c r="I1" s="561"/>
      <c r="J1" s="561"/>
    </row>
    <row r="2" spans="1:10" ht="18">
      <c r="A2" s="80"/>
      <c r="G2" s="559" t="str">
        <f>додаток1!D2</f>
        <v>до рішення сімнадцятої сесії Тетіївської міської ради</v>
      </c>
      <c r="H2" s="561"/>
      <c r="I2" s="561"/>
      <c r="J2" s="561"/>
    </row>
    <row r="3" spans="6:10" ht="36" customHeight="1">
      <c r="F3" s="250"/>
      <c r="G3" s="562" t="str">
        <f>додаток1!D3</f>
        <v>"Про бюджет Тетіївської міської територіальної громади на 2023 рік" від 20.12.2022 № 772-17-VIII</v>
      </c>
      <c r="H3" s="563"/>
      <c r="I3" s="563"/>
      <c r="J3" s="563"/>
    </row>
    <row r="4" spans="6:10" ht="42.75" customHeight="1">
      <c r="F4" s="250"/>
      <c r="G4" s="564" t="str">
        <f>додаток1!D4</f>
        <v>(в редакції рішення двадцять третьої сесії Тетіївської міської ради від 26.10.2023 № 1037-23-VIII)</v>
      </c>
      <c r="H4" s="565"/>
      <c r="I4" s="565"/>
      <c r="J4" s="565"/>
    </row>
    <row r="5" spans="6:10" ht="17.25" customHeight="1">
      <c r="F5" s="559">
        <f>додаток1!C5</f>
        <v>0</v>
      </c>
      <c r="G5" s="559"/>
      <c r="H5" s="559"/>
      <c r="I5" s="559"/>
      <c r="J5" s="559"/>
    </row>
    <row r="6" spans="1:10" s="245" customFormat="1" ht="18">
      <c r="A6" s="251"/>
      <c r="B6" s="252"/>
      <c r="C6" s="252"/>
      <c r="D6" s="253"/>
      <c r="E6" s="254"/>
      <c r="F6" s="255"/>
      <c r="G6" s="254"/>
      <c r="H6" s="559"/>
      <c r="I6" s="559"/>
      <c r="J6" s="559"/>
    </row>
    <row r="7" spans="1:10" s="245" customFormat="1" ht="21" customHeight="1">
      <c r="A7" s="251"/>
      <c r="B7" s="557" t="s">
        <v>545</v>
      </c>
      <c r="C7" s="557"/>
      <c r="D7" s="557"/>
      <c r="E7" s="557"/>
      <c r="F7" s="557"/>
      <c r="G7" s="557"/>
      <c r="H7" s="557"/>
      <c r="I7" s="557"/>
      <c r="J7" s="557"/>
    </row>
    <row r="8" spans="1:10" s="245" customFormat="1" ht="21" customHeight="1">
      <c r="A8" s="558">
        <f>додаток1!A8</f>
        <v>1050800000</v>
      </c>
      <c r="B8" s="558"/>
      <c r="C8" s="256"/>
      <c r="D8" s="256"/>
      <c r="E8" s="256"/>
      <c r="F8" s="256"/>
      <c r="G8" s="256"/>
      <c r="H8" s="256"/>
      <c r="I8" s="256"/>
      <c r="J8" s="256"/>
    </row>
    <row r="9" spans="1:10" s="245" customFormat="1" ht="18" customHeight="1">
      <c r="A9" s="559" t="s">
        <v>13</v>
      </c>
      <c r="B9" s="559"/>
      <c r="C9" s="257"/>
      <c r="D9" s="257"/>
      <c r="E9" s="257"/>
      <c r="F9" s="257"/>
      <c r="G9" s="257"/>
      <c r="H9" s="257"/>
      <c r="I9" s="257"/>
      <c r="J9" s="257"/>
    </row>
    <row r="10" spans="1:10" s="245" customFormat="1" ht="18" customHeight="1">
      <c r="A10" s="251"/>
      <c r="B10" s="258"/>
      <c r="C10" s="258"/>
      <c r="D10" s="259"/>
      <c r="E10" s="260"/>
      <c r="F10" s="255"/>
      <c r="G10" s="260"/>
      <c r="H10" s="261"/>
      <c r="J10" s="262" t="s">
        <v>14</v>
      </c>
    </row>
    <row r="11" spans="1:10" s="238" customFormat="1" ht="32.25" customHeight="1">
      <c r="A11" s="569" t="s">
        <v>158</v>
      </c>
      <c r="B11" s="571" t="s">
        <v>159</v>
      </c>
      <c r="C11" s="571" t="s">
        <v>160</v>
      </c>
      <c r="D11" s="573" t="s">
        <v>161</v>
      </c>
      <c r="E11" s="575" t="s">
        <v>355</v>
      </c>
      <c r="F11" s="573" t="s">
        <v>356</v>
      </c>
      <c r="G11" s="573" t="s">
        <v>17</v>
      </c>
      <c r="H11" s="573" t="s">
        <v>18</v>
      </c>
      <c r="I11" s="566" t="s">
        <v>19</v>
      </c>
      <c r="J11" s="567"/>
    </row>
    <row r="12" spans="1:10" s="238" customFormat="1" ht="86.25" customHeight="1">
      <c r="A12" s="570"/>
      <c r="B12" s="572"/>
      <c r="C12" s="572"/>
      <c r="D12" s="574"/>
      <c r="E12" s="576"/>
      <c r="F12" s="574"/>
      <c r="G12" s="574"/>
      <c r="H12" s="574"/>
      <c r="I12" s="263" t="s">
        <v>357</v>
      </c>
      <c r="J12" s="263" t="s">
        <v>325</v>
      </c>
    </row>
    <row r="13" spans="1:10" ht="24" customHeight="1">
      <c r="A13" s="263">
        <v>1</v>
      </c>
      <c r="B13" s="264" t="s">
        <v>353</v>
      </c>
      <c r="C13" s="264" t="s">
        <v>170</v>
      </c>
      <c r="D13" s="265">
        <v>4</v>
      </c>
      <c r="E13" s="266">
        <v>5</v>
      </c>
      <c r="F13" s="263">
        <v>6</v>
      </c>
      <c r="G13" s="263">
        <v>7</v>
      </c>
      <c r="H13" s="263">
        <v>8</v>
      </c>
      <c r="I13" s="263">
        <v>9</v>
      </c>
      <c r="J13" s="263">
        <v>10</v>
      </c>
    </row>
    <row r="14" spans="1:10" s="298" customFormat="1" ht="41.25" customHeight="1">
      <c r="A14" s="292" t="s">
        <v>171</v>
      </c>
      <c r="B14" s="293"/>
      <c r="C14" s="293"/>
      <c r="D14" s="294" t="s">
        <v>172</v>
      </c>
      <c r="E14" s="295"/>
      <c r="F14" s="296"/>
      <c r="G14" s="297">
        <f>H14+I14</f>
        <v>50558299</v>
      </c>
      <c r="H14" s="297">
        <f>H15</f>
        <v>39453432</v>
      </c>
      <c r="I14" s="297">
        <f>I15</f>
        <v>11104867</v>
      </c>
      <c r="J14" s="297">
        <f>J15</f>
        <v>11313742</v>
      </c>
    </row>
    <row r="15" spans="1:10" s="298" customFormat="1" ht="41.25" customHeight="1">
      <c r="A15" s="292" t="s">
        <v>173</v>
      </c>
      <c r="B15" s="293"/>
      <c r="C15" s="293"/>
      <c r="D15" s="294" t="s">
        <v>172</v>
      </c>
      <c r="E15" s="295"/>
      <c r="F15" s="296"/>
      <c r="G15" s="297">
        <f aca="true" t="shared" si="0" ref="G15:G74">H15+I15</f>
        <v>50558299</v>
      </c>
      <c r="H15" s="297">
        <f>H16+H23+H29+H34+H46+H57+H66</f>
        <v>39453432</v>
      </c>
      <c r="I15" s="297">
        <f>I16+I23+I29+I34+I46+I57+I66</f>
        <v>11104867</v>
      </c>
      <c r="J15" s="297">
        <f>J16+J23+J29+J34+J46+J57+J66</f>
        <v>11313742</v>
      </c>
    </row>
    <row r="16" spans="1:10" s="306" customFormat="1" ht="31.5" customHeight="1">
      <c r="A16" s="95"/>
      <c r="B16" s="95" t="s">
        <v>375</v>
      </c>
      <c r="C16" s="95"/>
      <c r="D16" s="96" t="s">
        <v>376</v>
      </c>
      <c r="E16" s="303"/>
      <c r="F16" s="304"/>
      <c r="G16" s="305">
        <f t="shared" si="0"/>
        <v>341669</v>
      </c>
      <c r="H16" s="305">
        <f>H17</f>
        <v>341669</v>
      </c>
      <c r="I16" s="305">
        <f>I17</f>
        <v>0</v>
      </c>
      <c r="J16" s="305">
        <f>J17</f>
        <v>0</v>
      </c>
    </row>
    <row r="17" spans="1:10" s="197" customFormat="1" ht="48.75" customHeight="1">
      <c r="A17" s="144" t="s">
        <v>179</v>
      </c>
      <c r="B17" s="267" t="s">
        <v>180</v>
      </c>
      <c r="C17" s="267" t="s">
        <v>181</v>
      </c>
      <c r="D17" s="198" t="s">
        <v>182</v>
      </c>
      <c r="E17" s="268"/>
      <c r="F17" s="202"/>
      <c r="G17" s="201">
        <f t="shared" si="0"/>
        <v>341669</v>
      </c>
      <c r="H17" s="201">
        <f>SUM(H18:H22)</f>
        <v>341669</v>
      </c>
      <c r="I17" s="201">
        <f>SUM(I18:I21)</f>
        <v>0</v>
      </c>
      <c r="J17" s="201">
        <f>SUM(J18:J21)</f>
        <v>0</v>
      </c>
    </row>
    <row r="18" spans="1:10" s="135" customFormat="1" ht="53.25" customHeight="1">
      <c r="A18" s="99"/>
      <c r="B18" s="269"/>
      <c r="C18" s="269"/>
      <c r="D18" s="270"/>
      <c r="E18" s="230" t="s">
        <v>358</v>
      </c>
      <c r="F18" s="203" t="s">
        <v>363</v>
      </c>
      <c r="G18" s="402">
        <f t="shared" si="0"/>
        <v>50000</v>
      </c>
      <c r="H18" s="402">
        <v>50000</v>
      </c>
      <c r="I18" s="403"/>
      <c r="J18" s="403"/>
    </row>
    <row r="19" spans="1:10" s="135" customFormat="1" ht="76.5" customHeight="1">
      <c r="A19" s="99"/>
      <c r="B19" s="269"/>
      <c r="C19" s="269"/>
      <c r="D19" s="270"/>
      <c r="E19" s="230" t="s">
        <v>359</v>
      </c>
      <c r="F19" s="203" t="s">
        <v>363</v>
      </c>
      <c r="G19" s="402">
        <f t="shared" si="0"/>
        <v>55665</v>
      </c>
      <c r="H19" s="402">
        <f>50000+5665</f>
        <v>55665</v>
      </c>
      <c r="I19" s="403"/>
      <c r="J19" s="403"/>
    </row>
    <row r="20" spans="1:10" s="135" customFormat="1" ht="56.25" customHeight="1">
      <c r="A20" s="99"/>
      <c r="B20" s="269"/>
      <c r="C20" s="269"/>
      <c r="D20" s="270"/>
      <c r="E20" s="194" t="s">
        <v>442</v>
      </c>
      <c r="F20" s="203" t="s">
        <v>363</v>
      </c>
      <c r="G20" s="402">
        <f t="shared" si="0"/>
        <v>50000</v>
      </c>
      <c r="H20" s="402">
        <v>50000</v>
      </c>
      <c r="I20" s="403"/>
      <c r="J20" s="403"/>
    </row>
    <row r="21" spans="1:10" s="135" customFormat="1" ht="57.75" customHeight="1">
      <c r="A21" s="99"/>
      <c r="B21" s="269"/>
      <c r="C21" s="269"/>
      <c r="D21" s="270"/>
      <c r="E21" s="230" t="s">
        <v>364</v>
      </c>
      <c r="F21" s="203" t="s">
        <v>363</v>
      </c>
      <c r="G21" s="402">
        <f t="shared" si="0"/>
        <v>186004</v>
      </c>
      <c r="H21" s="402">
        <f>171700+14304</f>
        <v>186004</v>
      </c>
      <c r="I21" s="403"/>
      <c r="J21" s="403"/>
    </row>
    <row r="22" spans="1:10" s="135" customFormat="1" ht="65.25" customHeight="1" hidden="1">
      <c r="A22" s="99"/>
      <c r="B22" s="269"/>
      <c r="C22" s="269"/>
      <c r="D22" s="270"/>
      <c r="E22" s="194" t="s">
        <v>441</v>
      </c>
      <c r="F22" s="203" t="s">
        <v>443</v>
      </c>
      <c r="G22" s="402">
        <f t="shared" si="0"/>
        <v>0</v>
      </c>
      <c r="H22" s="402"/>
      <c r="I22" s="402"/>
      <c r="J22" s="403"/>
    </row>
    <row r="23" spans="1:10" s="309" customFormat="1" ht="30" customHeight="1">
      <c r="A23" s="129"/>
      <c r="B23" s="129" t="s">
        <v>377</v>
      </c>
      <c r="C23" s="129"/>
      <c r="D23" s="130" t="s">
        <v>379</v>
      </c>
      <c r="E23" s="307"/>
      <c r="F23" s="308"/>
      <c r="G23" s="305">
        <f t="shared" si="0"/>
        <v>4474283</v>
      </c>
      <c r="H23" s="305">
        <f>H24+H27</f>
        <v>4474283</v>
      </c>
      <c r="I23" s="305">
        <f>I24+I27</f>
        <v>0</v>
      </c>
      <c r="J23" s="305">
        <f>J24+J27</f>
        <v>0</v>
      </c>
    </row>
    <row r="24" spans="1:10" s="197" customFormat="1" ht="44.25" customHeight="1">
      <c r="A24" s="144" t="s">
        <v>380</v>
      </c>
      <c r="B24" s="144" t="s">
        <v>382</v>
      </c>
      <c r="C24" s="144" t="s">
        <v>191</v>
      </c>
      <c r="D24" s="231" t="s">
        <v>381</v>
      </c>
      <c r="E24" s="196"/>
      <c r="F24" s="202"/>
      <c r="G24" s="201">
        <f>H24+I24</f>
        <v>4474283</v>
      </c>
      <c r="H24" s="201">
        <f>SUM(H25:H26)</f>
        <v>4474283</v>
      </c>
      <c r="I24" s="201">
        <f>SUM(I25:I26)</f>
        <v>0</v>
      </c>
      <c r="J24" s="201">
        <f>SUM(J25:J26)</f>
        <v>0</v>
      </c>
    </row>
    <row r="25" spans="1:10" s="135" customFormat="1" ht="66.75" customHeight="1">
      <c r="A25" s="99"/>
      <c r="B25" s="269"/>
      <c r="C25" s="269"/>
      <c r="D25" s="271"/>
      <c r="E25" s="194" t="s">
        <v>481</v>
      </c>
      <c r="F25" s="203" t="s">
        <v>490</v>
      </c>
      <c r="G25" s="402">
        <f>H25+I25</f>
        <v>2029438</v>
      </c>
      <c r="H25" s="402">
        <f>246000+25438+132000+1295000+131000+1400000-1200000</f>
        <v>2029438</v>
      </c>
      <c r="I25" s="402"/>
      <c r="J25" s="403"/>
    </row>
    <row r="26" spans="1:10" s="195" customFormat="1" ht="78" customHeight="1">
      <c r="A26" s="99"/>
      <c r="B26" s="269"/>
      <c r="C26" s="269"/>
      <c r="D26" s="271"/>
      <c r="E26" s="230" t="s">
        <v>479</v>
      </c>
      <c r="F26" s="203" t="s">
        <v>480</v>
      </c>
      <c r="G26" s="402">
        <f t="shared" si="0"/>
        <v>2444845</v>
      </c>
      <c r="H26" s="402">
        <f>1182100+344500+50000+115078+320000+187091+246076</f>
        <v>2444845</v>
      </c>
      <c r="I26" s="402"/>
      <c r="J26" s="403"/>
    </row>
    <row r="27" spans="1:10" s="197" customFormat="1" ht="47.25" customHeight="1" hidden="1">
      <c r="A27" s="144" t="s">
        <v>380</v>
      </c>
      <c r="B27" s="144" t="s">
        <v>382</v>
      </c>
      <c r="C27" s="144" t="s">
        <v>191</v>
      </c>
      <c r="D27" s="231" t="s">
        <v>381</v>
      </c>
      <c r="E27" s="196"/>
      <c r="F27" s="202"/>
      <c r="G27" s="201">
        <f t="shared" si="0"/>
        <v>0</v>
      </c>
      <c r="H27" s="201">
        <f>H28</f>
        <v>0</v>
      </c>
      <c r="I27" s="201">
        <f>I28</f>
        <v>0</v>
      </c>
      <c r="J27" s="201">
        <f>J28</f>
        <v>0</v>
      </c>
    </row>
    <row r="28" spans="1:10" s="195" customFormat="1" ht="76.5" customHeight="1" hidden="1">
      <c r="A28" s="99"/>
      <c r="B28" s="269"/>
      <c r="C28" s="269"/>
      <c r="D28" s="271"/>
      <c r="E28" s="194"/>
      <c r="F28" s="203"/>
      <c r="G28" s="402">
        <f t="shared" si="0"/>
        <v>0</v>
      </c>
      <c r="H28" s="402"/>
      <c r="I28" s="402"/>
      <c r="J28" s="403"/>
    </row>
    <row r="29" spans="1:10" s="309" customFormat="1" ht="54.75" customHeight="1">
      <c r="A29" s="129"/>
      <c r="B29" s="129" t="s">
        <v>383</v>
      </c>
      <c r="C29" s="129"/>
      <c r="D29" s="130" t="s">
        <v>384</v>
      </c>
      <c r="E29" s="307"/>
      <c r="F29" s="308"/>
      <c r="G29" s="305">
        <f t="shared" si="0"/>
        <v>398075</v>
      </c>
      <c r="H29" s="305">
        <f>H30+H32</f>
        <v>398075</v>
      </c>
      <c r="I29" s="305">
        <f>I30+I32</f>
        <v>0</v>
      </c>
      <c r="J29" s="305">
        <f>J30+J32</f>
        <v>0</v>
      </c>
    </row>
    <row r="30" spans="1:10" s="197" customFormat="1" ht="55.5" customHeight="1">
      <c r="A30" s="144" t="s">
        <v>505</v>
      </c>
      <c r="B30" s="144" t="s">
        <v>506</v>
      </c>
      <c r="C30" s="144" t="s">
        <v>194</v>
      </c>
      <c r="D30" s="231" t="s">
        <v>507</v>
      </c>
      <c r="E30" s="196"/>
      <c r="F30" s="202"/>
      <c r="G30" s="201">
        <f t="shared" si="0"/>
        <v>198075</v>
      </c>
      <c r="H30" s="201">
        <f>SUM(H31)</f>
        <v>198075</v>
      </c>
      <c r="I30" s="201">
        <f>SUM(I31)</f>
        <v>0</v>
      </c>
      <c r="J30" s="201">
        <f>SUM(J31)</f>
        <v>0</v>
      </c>
    </row>
    <row r="31" spans="1:10" s="195" customFormat="1" ht="61.5" customHeight="1">
      <c r="A31" s="144"/>
      <c r="B31" s="144"/>
      <c r="C31" s="144"/>
      <c r="D31" s="193"/>
      <c r="E31" s="397" t="s">
        <v>560</v>
      </c>
      <c r="F31" s="363" t="s">
        <v>564</v>
      </c>
      <c r="G31" s="402">
        <f t="shared" si="0"/>
        <v>198075</v>
      </c>
      <c r="H31" s="402">
        <f>50000+48075+100000</f>
        <v>198075</v>
      </c>
      <c r="I31" s="402"/>
      <c r="J31" s="402"/>
    </row>
    <row r="32" spans="1:10" s="197" customFormat="1" ht="85.5" customHeight="1">
      <c r="A32" s="144" t="s">
        <v>387</v>
      </c>
      <c r="B32" s="267" t="s">
        <v>388</v>
      </c>
      <c r="C32" s="267" t="s">
        <v>194</v>
      </c>
      <c r="D32" s="193" t="s">
        <v>389</v>
      </c>
      <c r="E32" s="196"/>
      <c r="F32" s="202"/>
      <c r="G32" s="201">
        <f t="shared" si="0"/>
        <v>200000</v>
      </c>
      <c r="H32" s="201">
        <f>H33</f>
        <v>200000</v>
      </c>
      <c r="I32" s="201">
        <f>I33</f>
        <v>0</v>
      </c>
      <c r="J32" s="201">
        <f>J33</f>
        <v>0</v>
      </c>
    </row>
    <row r="33" spans="1:10" s="195" customFormat="1" ht="52.5" customHeight="1">
      <c r="A33" s="99"/>
      <c r="B33" s="269"/>
      <c r="C33" s="269"/>
      <c r="D33" s="271"/>
      <c r="E33" s="397" t="s">
        <v>560</v>
      </c>
      <c r="F33" s="363" t="s">
        <v>564</v>
      </c>
      <c r="G33" s="402">
        <f t="shared" si="0"/>
        <v>200000</v>
      </c>
      <c r="H33" s="402">
        <f>200000</f>
        <v>200000</v>
      </c>
      <c r="I33" s="402"/>
      <c r="J33" s="403"/>
    </row>
    <row r="34" spans="1:10" s="309" customFormat="1" ht="35.25" customHeight="1">
      <c r="A34" s="129"/>
      <c r="B34" s="129" t="s">
        <v>392</v>
      </c>
      <c r="C34" s="129"/>
      <c r="D34" s="130" t="s">
        <v>393</v>
      </c>
      <c r="E34" s="310"/>
      <c r="F34" s="308"/>
      <c r="G34" s="305">
        <f t="shared" si="0"/>
        <v>31095722</v>
      </c>
      <c r="H34" s="305">
        <f>H37+H41+H44+H39+H35</f>
        <v>25600855</v>
      </c>
      <c r="I34" s="305">
        <f>I37+I41+I44+I39+I35</f>
        <v>5494867</v>
      </c>
      <c r="J34" s="305">
        <f>J37+J41+J44+J39+J35</f>
        <v>5864742</v>
      </c>
    </row>
    <row r="35" spans="1:10" s="197" customFormat="1" ht="50.25" customHeight="1">
      <c r="A35" s="144" t="s">
        <v>79</v>
      </c>
      <c r="B35" s="267" t="s">
        <v>80</v>
      </c>
      <c r="C35" s="267" t="s">
        <v>202</v>
      </c>
      <c r="D35" s="198" t="s">
        <v>81</v>
      </c>
      <c r="E35" s="231"/>
      <c r="F35" s="272"/>
      <c r="G35" s="201">
        <f>H35+I35</f>
        <v>200000</v>
      </c>
      <c r="H35" s="201">
        <f>H36</f>
        <v>200000</v>
      </c>
      <c r="I35" s="201">
        <f>I36</f>
        <v>0</v>
      </c>
      <c r="J35" s="201">
        <f>J36</f>
        <v>369875</v>
      </c>
    </row>
    <row r="36" spans="1:10" s="135" customFormat="1" ht="59.25" customHeight="1">
      <c r="A36" s="99"/>
      <c r="B36" s="269"/>
      <c r="C36" s="269"/>
      <c r="D36" s="270"/>
      <c r="E36" s="370" t="s">
        <v>557</v>
      </c>
      <c r="F36" s="363" t="s">
        <v>565</v>
      </c>
      <c r="G36" s="402">
        <f>H36+I36</f>
        <v>200000</v>
      </c>
      <c r="H36" s="402">
        <f>200000</f>
        <v>200000</v>
      </c>
      <c r="I36" s="403"/>
      <c r="J36" s="403">
        <f>48800+207300+113775</f>
        <v>369875</v>
      </c>
    </row>
    <row r="37" spans="1:10" s="197" customFormat="1" ht="50.25" customHeight="1">
      <c r="A37" s="144" t="s">
        <v>200</v>
      </c>
      <c r="B37" s="267" t="s">
        <v>201</v>
      </c>
      <c r="C37" s="267" t="s">
        <v>202</v>
      </c>
      <c r="D37" s="198" t="s">
        <v>203</v>
      </c>
      <c r="E37" s="231"/>
      <c r="F37" s="272"/>
      <c r="G37" s="201">
        <f t="shared" si="0"/>
        <v>4298740</v>
      </c>
      <c r="H37" s="201">
        <f>H38</f>
        <v>3928865</v>
      </c>
      <c r="I37" s="201">
        <f>I38</f>
        <v>369875</v>
      </c>
      <c r="J37" s="201">
        <f>J38</f>
        <v>369875</v>
      </c>
    </row>
    <row r="38" spans="1:10" s="135" customFormat="1" ht="59.25" customHeight="1">
      <c r="A38" s="99"/>
      <c r="B38" s="269"/>
      <c r="C38" s="269"/>
      <c r="D38" s="270"/>
      <c r="E38" s="370" t="s">
        <v>557</v>
      </c>
      <c r="F38" s="363" t="s">
        <v>565</v>
      </c>
      <c r="G38" s="402">
        <f t="shared" si="0"/>
        <v>4298740</v>
      </c>
      <c r="H38" s="402">
        <f>3000000+267300+32140+35000+96000+108425+390000</f>
        <v>3928865</v>
      </c>
      <c r="I38" s="403">
        <f>48800+207300+113775</f>
        <v>369875</v>
      </c>
      <c r="J38" s="403">
        <f>48800+207300+113775</f>
        <v>369875</v>
      </c>
    </row>
    <row r="39" spans="1:10" s="197" customFormat="1" ht="50.25" customHeight="1">
      <c r="A39" s="144" t="s">
        <v>109</v>
      </c>
      <c r="B39" s="267" t="s">
        <v>110</v>
      </c>
      <c r="C39" s="267" t="s">
        <v>202</v>
      </c>
      <c r="D39" s="198" t="s">
        <v>111</v>
      </c>
      <c r="E39" s="231"/>
      <c r="F39" s="401"/>
      <c r="G39" s="201">
        <f>H39+I39</f>
        <v>60000</v>
      </c>
      <c r="H39" s="201">
        <f>SUM(H40)</f>
        <v>60000</v>
      </c>
      <c r="I39" s="201">
        <f>SUM(I40)</f>
        <v>0</v>
      </c>
      <c r="J39" s="201">
        <f>SUM(J40)</f>
        <v>0</v>
      </c>
    </row>
    <row r="40" spans="1:10" s="197" customFormat="1" ht="55.5" customHeight="1">
      <c r="A40" s="144"/>
      <c r="B40" s="267"/>
      <c r="C40" s="267"/>
      <c r="D40" s="198"/>
      <c r="E40" s="370" t="s">
        <v>557</v>
      </c>
      <c r="F40" s="363" t="s">
        <v>565</v>
      </c>
      <c r="G40" s="402">
        <f>H40+I40</f>
        <v>60000</v>
      </c>
      <c r="H40" s="402">
        <f>60000</f>
        <v>60000</v>
      </c>
      <c r="I40" s="403"/>
      <c r="J40" s="403"/>
    </row>
    <row r="41" spans="1:10" s="197" customFormat="1" ht="50.25" customHeight="1">
      <c r="A41" s="144" t="s">
        <v>204</v>
      </c>
      <c r="B41" s="267" t="s">
        <v>205</v>
      </c>
      <c r="C41" s="267" t="s">
        <v>202</v>
      </c>
      <c r="D41" s="198" t="s">
        <v>206</v>
      </c>
      <c r="E41" s="231"/>
      <c r="F41" s="401"/>
      <c r="G41" s="201">
        <f>SUM(G42:G43)</f>
        <v>25736982</v>
      </c>
      <c r="H41" s="201">
        <f>SUM(H42:H43)</f>
        <v>21411990</v>
      </c>
      <c r="I41" s="201">
        <f>SUM(I42:I43)</f>
        <v>4324992</v>
      </c>
      <c r="J41" s="201">
        <f>SUM(J42:J43)</f>
        <v>4324992</v>
      </c>
    </row>
    <row r="42" spans="1:10" s="197" customFormat="1" ht="55.5" customHeight="1">
      <c r="A42" s="144"/>
      <c r="B42" s="267"/>
      <c r="C42" s="267"/>
      <c r="D42" s="198"/>
      <c r="E42" s="370" t="s">
        <v>557</v>
      </c>
      <c r="F42" s="363" t="s">
        <v>565</v>
      </c>
      <c r="G42" s="402">
        <f>H42+I42</f>
        <v>25676982</v>
      </c>
      <c r="H42" s="402">
        <f>10070000+6200000+200000+636730+75000+680700+525000+517360+8000+598600+1840600</f>
        <v>21351990</v>
      </c>
      <c r="I42" s="403">
        <f>675464+45210+274536+3032000-132218+430000</f>
        <v>4324992</v>
      </c>
      <c r="J42" s="403">
        <f>720674+274536+3032000-132218+430000</f>
        <v>4324992</v>
      </c>
    </row>
    <row r="43" spans="1:10" s="135" customFormat="1" ht="57" customHeight="1">
      <c r="A43" s="99"/>
      <c r="B43" s="269"/>
      <c r="C43" s="269"/>
      <c r="D43" s="270"/>
      <c r="E43" s="404" t="s">
        <v>7</v>
      </c>
      <c r="F43" s="363" t="s">
        <v>9</v>
      </c>
      <c r="G43" s="402">
        <f t="shared" si="0"/>
        <v>60000</v>
      </c>
      <c r="H43" s="402">
        <f>30000+30000</f>
        <v>60000</v>
      </c>
      <c r="I43" s="403"/>
      <c r="J43" s="403"/>
    </row>
    <row r="44" spans="1:10" s="197" customFormat="1" ht="50.25" customHeight="1">
      <c r="A44" s="144" t="s">
        <v>207</v>
      </c>
      <c r="B44" s="267" t="s">
        <v>208</v>
      </c>
      <c r="C44" s="267" t="s">
        <v>209</v>
      </c>
      <c r="D44" s="198" t="s">
        <v>210</v>
      </c>
      <c r="E44" s="231"/>
      <c r="F44" s="272"/>
      <c r="G44" s="201">
        <f t="shared" si="0"/>
        <v>800000</v>
      </c>
      <c r="H44" s="201">
        <f>H45</f>
        <v>0</v>
      </c>
      <c r="I44" s="201">
        <f>I45</f>
        <v>800000</v>
      </c>
      <c r="J44" s="201">
        <f>J45</f>
        <v>800000</v>
      </c>
    </row>
    <row r="45" spans="1:10" s="135" customFormat="1" ht="60.75" customHeight="1">
      <c r="A45" s="99"/>
      <c r="B45" s="269"/>
      <c r="C45" s="269"/>
      <c r="D45" s="270"/>
      <c r="E45" s="230" t="s">
        <v>481</v>
      </c>
      <c r="F45" s="203" t="s">
        <v>490</v>
      </c>
      <c r="G45" s="402">
        <f t="shared" si="0"/>
        <v>800000</v>
      </c>
      <c r="H45" s="402"/>
      <c r="I45" s="403">
        <f>400000+400000</f>
        <v>800000</v>
      </c>
      <c r="J45" s="403">
        <f>400000+400000</f>
        <v>800000</v>
      </c>
    </row>
    <row r="46" spans="1:10" s="309" customFormat="1" ht="32.25" customHeight="1">
      <c r="A46" s="129"/>
      <c r="B46" s="129" t="s">
        <v>394</v>
      </c>
      <c r="C46" s="129"/>
      <c r="D46" s="131" t="s">
        <v>395</v>
      </c>
      <c r="E46" s="130"/>
      <c r="F46" s="311"/>
      <c r="G46" s="305">
        <f t="shared" si="0"/>
        <v>12513550</v>
      </c>
      <c r="H46" s="305">
        <f>H47+H49+H51+H53+H55</f>
        <v>7363550</v>
      </c>
      <c r="I46" s="305">
        <f>I47+I49+I51+I53+I55</f>
        <v>5150000</v>
      </c>
      <c r="J46" s="305">
        <f>J47+J49+J51+J53+J55</f>
        <v>5150000</v>
      </c>
    </row>
    <row r="47" spans="1:10" s="197" customFormat="1" ht="38.25" customHeight="1">
      <c r="A47" s="144" t="s">
        <v>211</v>
      </c>
      <c r="B47" s="144" t="s">
        <v>212</v>
      </c>
      <c r="C47" s="144" t="s">
        <v>213</v>
      </c>
      <c r="D47" s="243" t="s">
        <v>214</v>
      </c>
      <c r="E47" s="231"/>
      <c r="F47" s="272"/>
      <c r="G47" s="201">
        <f t="shared" si="0"/>
        <v>1112250</v>
      </c>
      <c r="H47" s="201">
        <f>H48</f>
        <v>312250</v>
      </c>
      <c r="I47" s="201">
        <f>I48</f>
        <v>800000</v>
      </c>
      <c r="J47" s="201">
        <f>J48</f>
        <v>800000</v>
      </c>
    </row>
    <row r="48" spans="1:10" s="135" customFormat="1" ht="50.25" customHeight="1">
      <c r="A48" s="99"/>
      <c r="B48" s="269"/>
      <c r="C48" s="269"/>
      <c r="D48" s="270"/>
      <c r="E48" s="230" t="s">
        <v>365</v>
      </c>
      <c r="F48" s="203" t="s">
        <v>363</v>
      </c>
      <c r="G48" s="402">
        <f t="shared" si="0"/>
        <v>1112250</v>
      </c>
      <c r="H48" s="402">
        <f>1200000+14400-200000+197850-900000</f>
        <v>312250</v>
      </c>
      <c r="I48" s="403">
        <f>800000</f>
        <v>800000</v>
      </c>
      <c r="J48" s="403">
        <f>800000</f>
        <v>800000</v>
      </c>
    </row>
    <row r="49" spans="1:10" s="197" customFormat="1" ht="68.25" customHeight="1">
      <c r="A49" s="144" t="s">
        <v>215</v>
      </c>
      <c r="B49" s="267" t="s">
        <v>216</v>
      </c>
      <c r="C49" s="267" t="s">
        <v>217</v>
      </c>
      <c r="D49" s="198" t="s">
        <v>218</v>
      </c>
      <c r="E49" s="231"/>
      <c r="F49" s="272"/>
      <c r="G49" s="201">
        <f t="shared" si="0"/>
        <v>11341300</v>
      </c>
      <c r="H49" s="201">
        <f>H50</f>
        <v>6991300</v>
      </c>
      <c r="I49" s="201">
        <f>I50</f>
        <v>4350000</v>
      </c>
      <c r="J49" s="201">
        <f>J50</f>
        <v>4350000</v>
      </c>
    </row>
    <row r="50" spans="1:10" s="135" customFormat="1" ht="50.25" customHeight="1">
      <c r="A50" s="99"/>
      <c r="B50" s="269"/>
      <c r="C50" s="269"/>
      <c r="D50" s="270"/>
      <c r="E50" s="398" t="s">
        <v>556</v>
      </c>
      <c r="F50" s="363" t="s">
        <v>566</v>
      </c>
      <c r="G50" s="402">
        <f t="shared" si="0"/>
        <v>11341300</v>
      </c>
      <c r="H50" s="402">
        <f>1000000+91300+1989100+4010900-1000000+900000</f>
        <v>6991300</v>
      </c>
      <c r="I50" s="403">
        <f>1000000+3250000+100000</f>
        <v>4350000</v>
      </c>
      <c r="J50" s="403">
        <f>1000000+3250000+100000</f>
        <v>4350000</v>
      </c>
    </row>
    <row r="51" spans="1:10" s="197" customFormat="1" ht="50.25" customHeight="1" hidden="1">
      <c r="A51" s="144" t="s">
        <v>219</v>
      </c>
      <c r="B51" s="144" t="s">
        <v>220</v>
      </c>
      <c r="C51" s="144" t="s">
        <v>217</v>
      </c>
      <c r="D51" s="231" t="s">
        <v>221</v>
      </c>
      <c r="E51" s="368"/>
      <c r="F51" s="272"/>
      <c r="G51" s="201">
        <f t="shared" si="0"/>
        <v>0</v>
      </c>
      <c r="H51" s="201">
        <f>H52</f>
        <v>0</v>
      </c>
      <c r="I51" s="201">
        <f>I52</f>
        <v>0</v>
      </c>
      <c r="J51" s="201">
        <f>J52</f>
        <v>0</v>
      </c>
    </row>
    <row r="52" spans="1:10" s="135" customFormat="1" ht="50.25" customHeight="1" hidden="1">
      <c r="A52" s="99"/>
      <c r="B52" s="269"/>
      <c r="C52" s="269"/>
      <c r="D52" s="270"/>
      <c r="E52" s="98" t="s">
        <v>367</v>
      </c>
      <c r="F52" s="389" t="s">
        <v>363</v>
      </c>
      <c r="G52" s="402">
        <f t="shared" si="0"/>
        <v>0</v>
      </c>
      <c r="H52" s="402">
        <f>30000-30000</f>
        <v>0</v>
      </c>
      <c r="I52" s="403"/>
      <c r="J52" s="403"/>
    </row>
    <row r="53" spans="1:10" s="197" customFormat="1" ht="50.25" customHeight="1">
      <c r="A53" s="144" t="s">
        <v>222</v>
      </c>
      <c r="B53" s="267" t="s">
        <v>223</v>
      </c>
      <c r="C53" s="267" t="s">
        <v>224</v>
      </c>
      <c r="D53" s="198" t="s">
        <v>225</v>
      </c>
      <c r="E53" s="368"/>
      <c r="F53" s="272"/>
      <c r="G53" s="201">
        <f t="shared" si="0"/>
        <v>60000</v>
      </c>
      <c r="H53" s="201">
        <f>H54</f>
        <v>60000</v>
      </c>
      <c r="I53" s="201">
        <f>I54</f>
        <v>0</v>
      </c>
      <c r="J53" s="201">
        <f>J54</f>
        <v>0</v>
      </c>
    </row>
    <row r="54" spans="1:10" s="135" customFormat="1" ht="65.25" customHeight="1">
      <c r="A54" s="99"/>
      <c r="B54" s="269"/>
      <c r="C54" s="269"/>
      <c r="D54" s="270"/>
      <c r="E54" s="399" t="s">
        <v>553</v>
      </c>
      <c r="F54" s="363" t="s">
        <v>567</v>
      </c>
      <c r="G54" s="402">
        <f t="shared" si="0"/>
        <v>60000</v>
      </c>
      <c r="H54" s="402">
        <v>60000</v>
      </c>
      <c r="I54" s="403"/>
      <c r="J54" s="403"/>
    </row>
    <row r="55" spans="1:10" s="197" customFormat="1" ht="50.25" customHeight="1" hidden="1">
      <c r="A55" s="144" t="s">
        <v>226</v>
      </c>
      <c r="B55" s="144" t="s">
        <v>227</v>
      </c>
      <c r="C55" s="144" t="s">
        <v>224</v>
      </c>
      <c r="D55" s="231" t="s">
        <v>228</v>
      </c>
      <c r="E55" s="200"/>
      <c r="F55" s="202"/>
      <c r="G55" s="201">
        <f t="shared" si="0"/>
        <v>0</v>
      </c>
      <c r="H55" s="201">
        <f>H56</f>
        <v>0</v>
      </c>
      <c r="I55" s="201">
        <f>I56</f>
        <v>0</v>
      </c>
      <c r="J55" s="201">
        <f>J56</f>
        <v>0</v>
      </c>
    </row>
    <row r="56" spans="1:10" s="135" customFormat="1" ht="64.5" customHeight="1" hidden="1">
      <c r="A56" s="99"/>
      <c r="B56" s="99"/>
      <c r="C56" s="99"/>
      <c r="D56" s="270"/>
      <c r="E56" s="390" t="s">
        <v>432</v>
      </c>
      <c r="F56" s="389" t="s">
        <v>363</v>
      </c>
      <c r="G56" s="402">
        <f t="shared" si="0"/>
        <v>0</v>
      </c>
      <c r="H56" s="402"/>
      <c r="I56" s="403"/>
      <c r="J56" s="403"/>
    </row>
    <row r="57" spans="1:10" s="309" customFormat="1" ht="39.75" customHeight="1">
      <c r="A57" s="129"/>
      <c r="B57" s="129" t="s">
        <v>407</v>
      </c>
      <c r="C57" s="129"/>
      <c r="D57" s="130" t="s">
        <v>408</v>
      </c>
      <c r="E57" s="312"/>
      <c r="F57" s="308"/>
      <c r="G57" s="305">
        <f t="shared" si="0"/>
        <v>1515000</v>
      </c>
      <c r="H57" s="305">
        <f>H58+H62+H64+H60</f>
        <v>1155000</v>
      </c>
      <c r="I57" s="305">
        <f>I58+I62+I64+I60</f>
        <v>360000</v>
      </c>
      <c r="J57" s="305">
        <f>J58+J62+J64+J60</f>
        <v>199000</v>
      </c>
    </row>
    <row r="58" spans="1:10" s="197" customFormat="1" ht="66" customHeight="1">
      <c r="A58" s="144" t="s">
        <v>527</v>
      </c>
      <c r="B58" s="144" t="s">
        <v>525</v>
      </c>
      <c r="C58" s="144" t="s">
        <v>409</v>
      </c>
      <c r="D58" s="231" t="s">
        <v>526</v>
      </c>
      <c r="E58" s="200"/>
      <c r="F58" s="202"/>
      <c r="G58" s="201">
        <f t="shared" si="0"/>
        <v>250000</v>
      </c>
      <c r="H58" s="201">
        <f>H59</f>
        <v>250000</v>
      </c>
      <c r="I58" s="201">
        <f>I59</f>
        <v>0</v>
      </c>
      <c r="J58" s="201">
        <f>J59</f>
        <v>0</v>
      </c>
    </row>
    <row r="59" spans="1:10" s="135" customFormat="1" ht="58.5" customHeight="1">
      <c r="A59" s="144"/>
      <c r="B59" s="144"/>
      <c r="C59" s="144"/>
      <c r="D59" s="198"/>
      <c r="E59" s="199" t="s">
        <v>486</v>
      </c>
      <c r="F59" s="203" t="s">
        <v>488</v>
      </c>
      <c r="G59" s="402">
        <f t="shared" si="0"/>
        <v>250000</v>
      </c>
      <c r="H59" s="402">
        <f>200000+50000</f>
        <v>250000</v>
      </c>
      <c r="I59" s="403"/>
      <c r="J59" s="403"/>
    </row>
    <row r="60" spans="1:10" s="197" customFormat="1" ht="39.75" customHeight="1">
      <c r="A60" s="144" t="s">
        <v>2</v>
      </c>
      <c r="B60" s="144" t="s">
        <v>3</v>
      </c>
      <c r="C60" s="144" t="s">
        <v>229</v>
      </c>
      <c r="D60" s="231" t="s">
        <v>4</v>
      </c>
      <c r="E60" s="200"/>
      <c r="F60" s="202"/>
      <c r="G60" s="201">
        <f>H60+I60</f>
        <v>249000</v>
      </c>
      <c r="H60" s="201">
        <f>SUM(H61:H61)</f>
        <v>50000</v>
      </c>
      <c r="I60" s="201">
        <f>SUM(I61:I61)</f>
        <v>199000</v>
      </c>
      <c r="J60" s="201">
        <f>SUM(J61:J61)</f>
        <v>199000</v>
      </c>
    </row>
    <row r="61" spans="1:10" s="135" customFormat="1" ht="57.75" customHeight="1">
      <c r="A61" s="144"/>
      <c r="B61" s="144"/>
      <c r="C61" s="144"/>
      <c r="D61" s="198"/>
      <c r="E61" s="199" t="s">
        <v>5</v>
      </c>
      <c r="F61" s="203" t="s">
        <v>6</v>
      </c>
      <c r="G61" s="402">
        <f>H61+I61</f>
        <v>249000</v>
      </c>
      <c r="H61" s="402">
        <v>50000</v>
      </c>
      <c r="I61" s="402">
        <v>199000</v>
      </c>
      <c r="J61" s="402">
        <v>199000</v>
      </c>
    </row>
    <row r="62" spans="1:10" s="197" customFormat="1" ht="39.75" customHeight="1">
      <c r="A62" s="144" t="s">
        <v>509</v>
      </c>
      <c r="B62" s="144" t="s">
        <v>510</v>
      </c>
      <c r="C62" s="144" t="s">
        <v>229</v>
      </c>
      <c r="D62" s="231" t="s">
        <v>511</v>
      </c>
      <c r="E62" s="200"/>
      <c r="F62" s="202"/>
      <c r="G62" s="201">
        <f t="shared" si="0"/>
        <v>855000</v>
      </c>
      <c r="H62" s="201">
        <f>SUM(H63:H63)</f>
        <v>855000</v>
      </c>
      <c r="I62" s="201">
        <f>SUM(I63:I63)</f>
        <v>0</v>
      </c>
      <c r="J62" s="201">
        <f>SUM(J63:J63)</f>
        <v>0</v>
      </c>
    </row>
    <row r="63" spans="1:10" s="135" customFormat="1" ht="57.75" customHeight="1">
      <c r="A63" s="144"/>
      <c r="B63" s="144"/>
      <c r="C63" s="144"/>
      <c r="D63" s="198"/>
      <c r="E63" s="199" t="s">
        <v>547</v>
      </c>
      <c r="F63" s="203" t="s">
        <v>529</v>
      </c>
      <c r="G63" s="402">
        <f t="shared" si="0"/>
        <v>855000</v>
      </c>
      <c r="H63" s="402">
        <f>500000+55000+300000</f>
        <v>855000</v>
      </c>
      <c r="I63" s="402"/>
      <c r="J63" s="402"/>
    </row>
    <row r="64" spans="1:10" s="197" customFormat="1" ht="53.25" customHeight="1">
      <c r="A64" s="144" t="s">
        <v>230</v>
      </c>
      <c r="B64" s="267" t="s">
        <v>231</v>
      </c>
      <c r="C64" s="267" t="s">
        <v>232</v>
      </c>
      <c r="D64" s="198" t="s">
        <v>233</v>
      </c>
      <c r="E64" s="200"/>
      <c r="F64" s="202"/>
      <c r="G64" s="201">
        <f t="shared" si="0"/>
        <v>161000</v>
      </c>
      <c r="H64" s="201">
        <f>H65</f>
        <v>0</v>
      </c>
      <c r="I64" s="201">
        <f>I65</f>
        <v>161000</v>
      </c>
      <c r="J64" s="201">
        <f>J65</f>
        <v>0</v>
      </c>
    </row>
    <row r="65" spans="1:10" s="135" customFormat="1" ht="64.5" customHeight="1">
      <c r="A65" s="99"/>
      <c r="B65" s="269"/>
      <c r="C65" s="269"/>
      <c r="D65" s="270"/>
      <c r="E65" s="199" t="s">
        <v>366</v>
      </c>
      <c r="F65" s="203" t="s">
        <v>363</v>
      </c>
      <c r="G65" s="402">
        <f t="shared" si="0"/>
        <v>161000</v>
      </c>
      <c r="H65" s="402"/>
      <c r="I65" s="402">
        <f>145000+10000+6000</f>
        <v>161000</v>
      </c>
      <c r="J65" s="402"/>
    </row>
    <row r="66" spans="1:10" s="135" customFormat="1" ht="45" customHeight="1">
      <c r="A66" s="129"/>
      <c r="B66" s="129" t="s">
        <v>428</v>
      </c>
      <c r="C66" s="129"/>
      <c r="D66" s="131" t="s">
        <v>429</v>
      </c>
      <c r="E66" s="130"/>
      <c r="F66" s="311"/>
      <c r="G66" s="305">
        <f>G67</f>
        <v>220000</v>
      </c>
      <c r="H66" s="305">
        <f>H67</f>
        <v>120000</v>
      </c>
      <c r="I66" s="305">
        <f>I67</f>
        <v>100000</v>
      </c>
      <c r="J66" s="305">
        <f>J67+J71+J73+J75+J78+J92</f>
        <v>100000</v>
      </c>
    </row>
    <row r="67" spans="1:10" s="135" customFormat="1" ht="72" customHeight="1">
      <c r="A67" s="144" t="s">
        <v>451</v>
      </c>
      <c r="B67" s="144" t="s">
        <v>452</v>
      </c>
      <c r="C67" s="144" t="s">
        <v>180</v>
      </c>
      <c r="D67" s="243" t="s">
        <v>453</v>
      </c>
      <c r="E67" s="231"/>
      <c r="F67" s="272"/>
      <c r="G67" s="201">
        <f>H67+I67</f>
        <v>220000</v>
      </c>
      <c r="H67" s="201">
        <f>SUM(H68:H70)</f>
        <v>120000</v>
      </c>
      <c r="I67" s="201">
        <f>SUM(I68:I70)</f>
        <v>100000</v>
      </c>
      <c r="J67" s="201">
        <f>SUM(J68:J70)</f>
        <v>100000</v>
      </c>
    </row>
    <row r="68" spans="1:10" s="135" customFormat="1" ht="59.25" customHeight="1">
      <c r="A68" s="392"/>
      <c r="B68" s="392"/>
      <c r="C68" s="392"/>
      <c r="D68" s="393"/>
      <c r="E68" s="391" t="s">
        <v>552</v>
      </c>
      <c r="F68" s="394" t="s">
        <v>561</v>
      </c>
      <c r="G68" s="402">
        <f>H68+I68</f>
        <v>60000</v>
      </c>
      <c r="H68" s="402">
        <v>60000</v>
      </c>
      <c r="I68" s="402"/>
      <c r="J68" s="402"/>
    </row>
    <row r="69" spans="1:10" s="135" customFormat="1" ht="64.5" customHeight="1">
      <c r="A69" s="392"/>
      <c r="B69" s="395"/>
      <c r="C69" s="395"/>
      <c r="D69" s="396"/>
      <c r="E69" s="391" t="s">
        <v>530</v>
      </c>
      <c r="F69" s="394" t="s">
        <v>531</v>
      </c>
      <c r="G69" s="402">
        <f>H69+I69</f>
        <v>160000</v>
      </c>
      <c r="H69" s="402">
        <f>60000</f>
        <v>60000</v>
      </c>
      <c r="I69" s="403">
        <v>100000</v>
      </c>
      <c r="J69" s="403">
        <v>100000</v>
      </c>
    </row>
    <row r="70" spans="1:10" s="135" customFormat="1" ht="64.5" customHeight="1" hidden="1">
      <c r="A70" s="392"/>
      <c r="B70" s="395"/>
      <c r="C70" s="395"/>
      <c r="D70" s="396"/>
      <c r="E70" s="391"/>
      <c r="F70" s="394"/>
      <c r="G70" s="402">
        <f>H70+I70</f>
        <v>0</v>
      </c>
      <c r="H70" s="402"/>
      <c r="I70" s="403"/>
      <c r="J70" s="403"/>
    </row>
    <row r="71" spans="1:10" s="298" customFormat="1" ht="36.75" customHeight="1">
      <c r="A71" s="292" t="s">
        <v>234</v>
      </c>
      <c r="B71" s="299"/>
      <c r="C71" s="299"/>
      <c r="D71" s="300" t="s">
        <v>410</v>
      </c>
      <c r="E71" s="301"/>
      <c r="F71" s="302"/>
      <c r="G71" s="297">
        <f t="shared" si="0"/>
        <v>782006</v>
      </c>
      <c r="H71" s="297">
        <f aca="true" t="shared" si="1" ref="H71:J73">H72</f>
        <v>782006</v>
      </c>
      <c r="I71" s="297">
        <f t="shared" si="1"/>
        <v>0</v>
      </c>
      <c r="J71" s="297">
        <f t="shared" si="1"/>
        <v>0</v>
      </c>
    </row>
    <row r="72" spans="1:10" s="298" customFormat="1" ht="36.75" customHeight="1">
      <c r="A72" s="292" t="s">
        <v>235</v>
      </c>
      <c r="B72" s="299"/>
      <c r="C72" s="299"/>
      <c r="D72" s="300" t="s">
        <v>410</v>
      </c>
      <c r="E72" s="301"/>
      <c r="F72" s="302"/>
      <c r="G72" s="297">
        <f t="shared" si="0"/>
        <v>782006</v>
      </c>
      <c r="H72" s="297">
        <f t="shared" si="1"/>
        <v>782006</v>
      </c>
      <c r="I72" s="297">
        <f t="shared" si="1"/>
        <v>0</v>
      </c>
      <c r="J72" s="297">
        <f t="shared" si="1"/>
        <v>0</v>
      </c>
    </row>
    <row r="73" spans="1:10" s="306" customFormat="1" ht="36.75" customHeight="1">
      <c r="A73" s="129"/>
      <c r="B73" s="129" t="s">
        <v>411</v>
      </c>
      <c r="C73" s="129"/>
      <c r="D73" s="130" t="s">
        <v>412</v>
      </c>
      <c r="E73" s="313"/>
      <c r="F73" s="314"/>
      <c r="G73" s="305">
        <f t="shared" si="0"/>
        <v>782006</v>
      </c>
      <c r="H73" s="305">
        <f t="shared" si="1"/>
        <v>782006</v>
      </c>
      <c r="I73" s="305">
        <f t="shared" si="1"/>
        <v>0</v>
      </c>
      <c r="J73" s="305">
        <f t="shared" si="1"/>
        <v>0</v>
      </c>
    </row>
    <row r="74" spans="1:10" s="197" customFormat="1" ht="42.75" customHeight="1">
      <c r="A74" s="144" t="s">
        <v>360</v>
      </c>
      <c r="B74" s="267" t="s">
        <v>257</v>
      </c>
      <c r="C74" s="267" t="s">
        <v>254</v>
      </c>
      <c r="D74" s="198" t="s">
        <v>361</v>
      </c>
      <c r="E74" s="274"/>
      <c r="F74" s="202"/>
      <c r="G74" s="201">
        <f t="shared" si="0"/>
        <v>782006</v>
      </c>
      <c r="H74" s="201">
        <f>SUM(H75:H78)</f>
        <v>782006</v>
      </c>
      <c r="I74" s="201">
        <f>SUM(I75:I78)</f>
        <v>0</v>
      </c>
      <c r="J74" s="201">
        <f>SUM(J75:J78)</f>
        <v>0</v>
      </c>
    </row>
    <row r="75" spans="1:10" s="135" customFormat="1" ht="60" customHeight="1">
      <c r="A75" s="99"/>
      <c r="B75" s="269"/>
      <c r="C75" s="269"/>
      <c r="D75" s="270"/>
      <c r="E75" s="275" t="s">
        <v>444</v>
      </c>
      <c r="F75" s="203" t="s">
        <v>363</v>
      </c>
      <c r="G75" s="402">
        <f aca="true" t="shared" si="2" ref="G75:G107">H75+I75</f>
        <v>124100</v>
      </c>
      <c r="H75" s="402">
        <f>109100+15000</f>
        <v>124100</v>
      </c>
      <c r="I75" s="403"/>
      <c r="J75" s="403"/>
    </row>
    <row r="76" spans="1:10" s="135" customFormat="1" ht="67.5" customHeight="1">
      <c r="A76" s="99"/>
      <c r="B76" s="269"/>
      <c r="C76" s="269"/>
      <c r="D76" s="270"/>
      <c r="E76" s="230" t="s">
        <v>491</v>
      </c>
      <c r="F76" s="203" t="s">
        <v>492</v>
      </c>
      <c r="G76" s="402">
        <f t="shared" si="2"/>
        <v>18100</v>
      </c>
      <c r="H76" s="402">
        <v>18100</v>
      </c>
      <c r="I76" s="403"/>
      <c r="J76" s="403"/>
    </row>
    <row r="77" spans="1:10" s="135" customFormat="1" ht="67.5" customHeight="1">
      <c r="A77" s="99"/>
      <c r="B77" s="269"/>
      <c r="C77" s="269"/>
      <c r="D77" s="270"/>
      <c r="E77" s="230" t="s">
        <v>10</v>
      </c>
      <c r="F77" s="203" t="s">
        <v>11</v>
      </c>
      <c r="G77" s="402">
        <f t="shared" si="2"/>
        <v>139806</v>
      </c>
      <c r="H77" s="402">
        <f>139806</f>
        <v>139806</v>
      </c>
      <c r="I77" s="403"/>
      <c r="J77" s="403"/>
    </row>
    <row r="78" spans="1:10" s="195" customFormat="1" ht="57" customHeight="1">
      <c r="A78" s="99"/>
      <c r="B78" s="269"/>
      <c r="C78" s="269"/>
      <c r="D78" s="270"/>
      <c r="E78" s="230" t="s">
        <v>494</v>
      </c>
      <c r="F78" s="203" t="s">
        <v>363</v>
      </c>
      <c r="G78" s="402">
        <f t="shared" si="2"/>
        <v>500000</v>
      </c>
      <c r="H78" s="402">
        <f>150000+60000+290000</f>
        <v>500000</v>
      </c>
      <c r="I78" s="403"/>
      <c r="J78" s="403"/>
    </row>
    <row r="79" spans="1:10" s="298" customFormat="1" ht="42" customHeight="1">
      <c r="A79" s="292" t="s">
        <v>513</v>
      </c>
      <c r="B79" s="299"/>
      <c r="C79" s="299"/>
      <c r="D79" s="300" t="s">
        <v>514</v>
      </c>
      <c r="E79" s="301"/>
      <c r="F79" s="302"/>
      <c r="G79" s="297">
        <f t="shared" si="2"/>
        <v>5833500</v>
      </c>
      <c r="H79" s="297">
        <f aca="true" t="shared" si="3" ref="H79:J80">H80</f>
        <v>5833500</v>
      </c>
      <c r="I79" s="297">
        <f t="shared" si="3"/>
        <v>0</v>
      </c>
      <c r="J79" s="297">
        <f t="shared" si="3"/>
        <v>0</v>
      </c>
    </row>
    <row r="80" spans="1:10" s="298" customFormat="1" ht="39.75" customHeight="1">
      <c r="A80" s="292" t="s">
        <v>515</v>
      </c>
      <c r="B80" s="299"/>
      <c r="C80" s="299"/>
      <c r="D80" s="300" t="str">
        <f>D79</f>
        <v>Управління соціального захисту населення Тетіївської міської ради</v>
      </c>
      <c r="E80" s="301"/>
      <c r="F80" s="302"/>
      <c r="G80" s="297">
        <f t="shared" si="2"/>
        <v>5833500</v>
      </c>
      <c r="H80" s="297">
        <f t="shared" si="3"/>
        <v>5833500</v>
      </c>
      <c r="I80" s="297">
        <f t="shared" si="3"/>
        <v>0</v>
      </c>
      <c r="J80" s="297">
        <f t="shared" si="3"/>
        <v>0</v>
      </c>
    </row>
    <row r="81" spans="1:10" s="309" customFormat="1" ht="54.75" customHeight="1">
      <c r="A81" s="129"/>
      <c r="B81" s="129" t="s">
        <v>383</v>
      </c>
      <c r="C81" s="129"/>
      <c r="D81" s="130" t="s">
        <v>384</v>
      </c>
      <c r="E81" s="307"/>
      <c r="F81" s="308"/>
      <c r="G81" s="305">
        <f t="shared" si="2"/>
        <v>5833500</v>
      </c>
      <c r="H81" s="305">
        <f>H82+H86+H84</f>
        <v>5833500</v>
      </c>
      <c r="I81" s="305">
        <f>I82+I86+I84</f>
        <v>0</v>
      </c>
      <c r="J81" s="305">
        <f>J82+J86+J84</f>
        <v>0</v>
      </c>
    </row>
    <row r="82" spans="1:10" s="197" customFormat="1" ht="62.25" customHeight="1">
      <c r="A82" s="144" t="s">
        <v>517</v>
      </c>
      <c r="B82" s="144" t="s">
        <v>385</v>
      </c>
      <c r="C82" s="144" t="s">
        <v>192</v>
      </c>
      <c r="D82" s="243" t="s">
        <v>386</v>
      </c>
      <c r="E82" s="196"/>
      <c r="F82" s="202"/>
      <c r="G82" s="201">
        <f t="shared" si="2"/>
        <v>3500</v>
      </c>
      <c r="H82" s="201">
        <f>H83</f>
        <v>3500</v>
      </c>
      <c r="I82" s="201">
        <f>I83</f>
        <v>0</v>
      </c>
      <c r="J82" s="201">
        <f>J83</f>
        <v>0</v>
      </c>
    </row>
    <row r="83" spans="1:10" s="195" customFormat="1" ht="67.5" customHeight="1">
      <c r="A83" s="144"/>
      <c r="B83" s="144"/>
      <c r="C83" s="144"/>
      <c r="D83" s="193"/>
      <c r="E83" s="397" t="s">
        <v>559</v>
      </c>
      <c r="F83" s="363" t="s">
        <v>568</v>
      </c>
      <c r="G83" s="402">
        <f t="shared" si="2"/>
        <v>3500</v>
      </c>
      <c r="H83" s="402">
        <v>3500</v>
      </c>
      <c r="I83" s="402"/>
      <c r="J83" s="402"/>
    </row>
    <row r="84" spans="1:10" s="195" customFormat="1" ht="67.5" customHeight="1">
      <c r="A84" s="144" t="s">
        <v>326</v>
      </c>
      <c r="B84" s="144" t="s">
        <v>506</v>
      </c>
      <c r="C84" s="144" t="s">
        <v>194</v>
      </c>
      <c r="D84" s="231" t="s">
        <v>507</v>
      </c>
      <c r="E84" s="196"/>
      <c r="F84" s="202"/>
      <c r="G84" s="201">
        <f t="shared" si="2"/>
        <v>20000</v>
      </c>
      <c r="H84" s="201">
        <f>SUM(H85)</f>
        <v>20000</v>
      </c>
      <c r="I84" s="201">
        <f>SUM(I85)</f>
        <v>0</v>
      </c>
      <c r="J84" s="201">
        <f>SUM(J85)</f>
        <v>0</v>
      </c>
    </row>
    <row r="85" spans="1:10" s="195" customFormat="1" ht="59.25" customHeight="1">
      <c r="A85" s="144"/>
      <c r="B85" s="144"/>
      <c r="C85" s="144"/>
      <c r="D85" s="193"/>
      <c r="E85" s="397" t="s">
        <v>327</v>
      </c>
      <c r="F85" s="363" t="s">
        <v>328</v>
      </c>
      <c r="G85" s="402">
        <f t="shared" si="2"/>
        <v>20000</v>
      </c>
      <c r="H85" s="402">
        <f>20000</f>
        <v>20000</v>
      </c>
      <c r="I85" s="402"/>
      <c r="J85" s="402"/>
    </row>
    <row r="86" spans="1:10" s="197" customFormat="1" ht="60.75" customHeight="1">
      <c r="A86" s="144" t="s">
        <v>520</v>
      </c>
      <c r="B86" s="267" t="s">
        <v>198</v>
      </c>
      <c r="C86" s="267" t="s">
        <v>196</v>
      </c>
      <c r="D86" s="193" t="s">
        <v>199</v>
      </c>
      <c r="E86" s="196"/>
      <c r="F86" s="202"/>
      <c r="G86" s="201">
        <f t="shared" si="2"/>
        <v>5810000</v>
      </c>
      <c r="H86" s="201">
        <f>SUM(H87:H90)</f>
        <v>5810000</v>
      </c>
      <c r="I86" s="201">
        <f>SUM(I87:I90)</f>
        <v>0</v>
      </c>
      <c r="J86" s="201">
        <f>SUM(J87:J90)</f>
        <v>0</v>
      </c>
    </row>
    <row r="87" spans="1:10" s="135" customFormat="1" ht="52.5" customHeight="1">
      <c r="A87" s="99"/>
      <c r="B87" s="269"/>
      <c r="C87" s="269"/>
      <c r="D87" s="242"/>
      <c r="E87" s="230" t="s">
        <v>508</v>
      </c>
      <c r="F87" s="203" t="s">
        <v>363</v>
      </c>
      <c r="G87" s="402">
        <f t="shared" si="2"/>
        <v>1185000</v>
      </c>
      <c r="H87" s="402">
        <f>638000+110000+100000+144000+138000+55000</f>
        <v>1185000</v>
      </c>
      <c r="I87" s="403"/>
      <c r="J87" s="403"/>
    </row>
    <row r="88" spans="1:10" s="135" customFormat="1" ht="60.75" customHeight="1">
      <c r="A88" s="99"/>
      <c r="B88" s="269"/>
      <c r="C88" s="269"/>
      <c r="D88" s="270"/>
      <c r="E88" s="370" t="s">
        <v>378</v>
      </c>
      <c r="F88" s="203" t="s">
        <v>487</v>
      </c>
      <c r="G88" s="402">
        <f>H88+I88</f>
        <v>420000</v>
      </c>
      <c r="H88" s="402">
        <f>370000+140000+105000-195000</f>
        <v>420000</v>
      </c>
      <c r="I88" s="403"/>
      <c r="J88" s="403"/>
    </row>
    <row r="89" spans="1:10" s="135" customFormat="1" ht="85.5" customHeight="1">
      <c r="A89" s="99"/>
      <c r="B89" s="269"/>
      <c r="C89" s="269"/>
      <c r="D89" s="270"/>
      <c r="E89" s="370" t="s">
        <v>558</v>
      </c>
      <c r="F89" s="363" t="s">
        <v>569</v>
      </c>
      <c r="G89" s="402">
        <f>H89+I89</f>
        <v>1010000</v>
      </c>
      <c r="H89" s="402">
        <f>300000+400000+310000</f>
        <v>1010000</v>
      </c>
      <c r="I89" s="403"/>
      <c r="J89" s="403"/>
    </row>
    <row r="90" spans="1:10" s="135" customFormat="1" ht="60" customHeight="1">
      <c r="A90" s="99"/>
      <c r="B90" s="269"/>
      <c r="C90" s="269"/>
      <c r="D90" s="270"/>
      <c r="E90" s="370" t="s">
        <v>69</v>
      </c>
      <c r="F90" s="363" t="s">
        <v>126</v>
      </c>
      <c r="G90" s="402">
        <f t="shared" si="2"/>
        <v>3195000</v>
      </c>
      <c r="H90" s="402">
        <f>195000+3000000</f>
        <v>3195000</v>
      </c>
      <c r="I90" s="403"/>
      <c r="J90" s="403"/>
    </row>
    <row r="91" spans="1:10" s="298" customFormat="1" ht="47.25" customHeight="1">
      <c r="A91" s="292" t="s">
        <v>274</v>
      </c>
      <c r="B91" s="299"/>
      <c r="C91" s="299"/>
      <c r="D91" s="300" t="s">
        <v>423</v>
      </c>
      <c r="E91" s="301"/>
      <c r="F91" s="302"/>
      <c r="G91" s="297">
        <f t="shared" si="2"/>
        <v>1343576</v>
      </c>
      <c r="H91" s="297">
        <f>H92</f>
        <v>1343576</v>
      </c>
      <c r="I91" s="297">
        <f>I92</f>
        <v>0</v>
      </c>
      <c r="J91" s="297">
        <f>J92</f>
        <v>0</v>
      </c>
    </row>
    <row r="92" spans="1:10" s="298" customFormat="1" ht="47.25" customHeight="1">
      <c r="A92" s="292" t="s">
        <v>275</v>
      </c>
      <c r="B92" s="299"/>
      <c r="C92" s="299"/>
      <c r="D92" s="300" t="s">
        <v>423</v>
      </c>
      <c r="E92" s="301"/>
      <c r="F92" s="302"/>
      <c r="G92" s="297">
        <f t="shared" si="2"/>
        <v>1343576</v>
      </c>
      <c r="H92" s="297">
        <f>H93+H96+H100</f>
        <v>1343576</v>
      </c>
      <c r="I92" s="297">
        <f>I93+I96</f>
        <v>0</v>
      </c>
      <c r="J92" s="297">
        <f>J93+J96</f>
        <v>0</v>
      </c>
    </row>
    <row r="93" spans="1:10" s="306" customFormat="1" ht="50.25" customHeight="1">
      <c r="A93" s="129"/>
      <c r="B93" s="129" t="s">
        <v>424</v>
      </c>
      <c r="C93" s="129"/>
      <c r="D93" s="130" t="s">
        <v>384</v>
      </c>
      <c r="E93" s="313"/>
      <c r="F93" s="314"/>
      <c r="G93" s="305">
        <f t="shared" si="2"/>
        <v>3150</v>
      </c>
      <c r="H93" s="305">
        <f aca="true" t="shared" si="4" ref="H93:J94">H94</f>
        <v>3150</v>
      </c>
      <c r="I93" s="305">
        <f t="shared" si="4"/>
        <v>0</v>
      </c>
      <c r="J93" s="305">
        <f t="shared" si="4"/>
        <v>0</v>
      </c>
    </row>
    <row r="94" spans="1:10" s="197" customFormat="1" ht="72" customHeight="1">
      <c r="A94" s="144" t="s">
        <v>279</v>
      </c>
      <c r="B94" s="267" t="s">
        <v>280</v>
      </c>
      <c r="C94" s="267" t="s">
        <v>194</v>
      </c>
      <c r="D94" s="198" t="s">
        <v>281</v>
      </c>
      <c r="E94" s="274"/>
      <c r="F94" s="202"/>
      <c r="G94" s="201">
        <f t="shared" si="2"/>
        <v>3150</v>
      </c>
      <c r="H94" s="201">
        <f t="shared" si="4"/>
        <v>3150</v>
      </c>
      <c r="I94" s="201">
        <f t="shared" si="4"/>
        <v>0</v>
      </c>
      <c r="J94" s="201">
        <f t="shared" si="4"/>
        <v>0</v>
      </c>
    </row>
    <row r="95" spans="1:10" s="135" customFormat="1" ht="61.5" customHeight="1">
      <c r="A95" s="99"/>
      <c r="B95" s="269"/>
      <c r="C95" s="269"/>
      <c r="D95" s="270"/>
      <c r="E95" s="400" t="s">
        <v>555</v>
      </c>
      <c r="F95" s="363" t="s">
        <v>570</v>
      </c>
      <c r="G95" s="402">
        <f t="shared" si="2"/>
        <v>3150</v>
      </c>
      <c r="H95" s="402">
        <f>12000-8850</f>
        <v>3150</v>
      </c>
      <c r="I95" s="403"/>
      <c r="J95" s="403"/>
    </row>
    <row r="96" spans="1:10" s="309" customFormat="1" ht="39.75" customHeight="1">
      <c r="A96" s="129"/>
      <c r="B96" s="129" t="s">
        <v>425</v>
      </c>
      <c r="C96" s="129"/>
      <c r="D96" s="130" t="s">
        <v>426</v>
      </c>
      <c r="E96" s="315"/>
      <c r="F96" s="308"/>
      <c r="G96" s="305">
        <f t="shared" si="2"/>
        <v>92415</v>
      </c>
      <c r="H96" s="305">
        <f>H97</f>
        <v>92415</v>
      </c>
      <c r="I96" s="305">
        <f>I97</f>
        <v>0</v>
      </c>
      <c r="J96" s="305">
        <f>J97</f>
        <v>0</v>
      </c>
    </row>
    <row r="97" spans="1:10" s="197" customFormat="1" ht="42" customHeight="1">
      <c r="A97" s="144" t="s">
        <v>301</v>
      </c>
      <c r="B97" s="267" t="s">
        <v>302</v>
      </c>
      <c r="C97" s="267" t="s">
        <v>299</v>
      </c>
      <c r="D97" s="198" t="s">
        <v>303</v>
      </c>
      <c r="E97" s="276"/>
      <c r="F97" s="202"/>
      <c r="G97" s="201">
        <f t="shared" si="2"/>
        <v>92415</v>
      </c>
      <c r="H97" s="201">
        <f>SUM(H98:H99)</f>
        <v>92415</v>
      </c>
      <c r="I97" s="201">
        <f>SUM(I98:I99)</f>
        <v>0</v>
      </c>
      <c r="J97" s="201">
        <f>SUM(J98:J99)</f>
        <v>0</v>
      </c>
    </row>
    <row r="98" spans="1:10" s="195" customFormat="1" ht="53.25" customHeight="1">
      <c r="A98" s="99"/>
      <c r="B98" s="269"/>
      <c r="C98" s="269"/>
      <c r="D98" s="270"/>
      <c r="E98" s="277" t="s">
        <v>445</v>
      </c>
      <c r="F98" s="203" t="s">
        <v>363</v>
      </c>
      <c r="G98" s="402">
        <f t="shared" si="2"/>
        <v>63000</v>
      </c>
      <c r="H98" s="402">
        <v>63000</v>
      </c>
      <c r="I98" s="403"/>
      <c r="J98" s="403"/>
    </row>
    <row r="99" spans="1:10" s="195" customFormat="1" ht="62.25" customHeight="1">
      <c r="A99" s="99"/>
      <c r="B99" s="269"/>
      <c r="C99" s="269"/>
      <c r="D99" s="270"/>
      <c r="E99" s="370" t="s">
        <v>554</v>
      </c>
      <c r="F99" s="363" t="s">
        <v>571</v>
      </c>
      <c r="G99" s="402">
        <f t="shared" si="2"/>
        <v>29415</v>
      </c>
      <c r="H99" s="402">
        <f>6000+23415</f>
        <v>29415</v>
      </c>
      <c r="I99" s="403"/>
      <c r="J99" s="403"/>
    </row>
    <row r="100" spans="1:10" s="309" customFormat="1" ht="39.75" customHeight="1">
      <c r="A100" s="129"/>
      <c r="B100" s="129" t="s">
        <v>421</v>
      </c>
      <c r="C100" s="129"/>
      <c r="D100" s="130" t="s">
        <v>422</v>
      </c>
      <c r="E100" s="319"/>
      <c r="F100" s="308"/>
      <c r="G100" s="305">
        <f aca="true" t="shared" si="5" ref="G100:G106">H100+I100</f>
        <v>1248011</v>
      </c>
      <c r="H100" s="305">
        <f>H101+H103+H105</f>
        <v>1248011</v>
      </c>
      <c r="I100" s="305">
        <f>I101+I103+I105</f>
        <v>0</v>
      </c>
      <c r="J100" s="305">
        <f>J101+J103+J105</f>
        <v>0</v>
      </c>
    </row>
    <row r="101" spans="1:10" s="197" customFormat="1" ht="53.25" customHeight="1">
      <c r="A101" s="144" t="s">
        <v>304</v>
      </c>
      <c r="B101" s="267" t="s">
        <v>305</v>
      </c>
      <c r="C101" s="267" t="s">
        <v>272</v>
      </c>
      <c r="D101" s="198" t="s">
        <v>306</v>
      </c>
      <c r="E101" s="276"/>
      <c r="F101" s="202"/>
      <c r="G101" s="201">
        <f t="shared" si="5"/>
        <v>10000</v>
      </c>
      <c r="H101" s="201">
        <f>SUM(H102)</f>
        <v>10000</v>
      </c>
      <c r="I101" s="201">
        <f>SUM(I102)</f>
        <v>0</v>
      </c>
      <c r="J101" s="201">
        <f>SUM(J102)</f>
        <v>0</v>
      </c>
    </row>
    <row r="102" spans="1:10" s="195" customFormat="1" ht="57" customHeight="1">
      <c r="A102" s="99"/>
      <c r="B102" s="269"/>
      <c r="C102" s="269"/>
      <c r="D102" s="270"/>
      <c r="E102" s="277" t="s">
        <v>495</v>
      </c>
      <c r="F102" s="203" t="s">
        <v>497</v>
      </c>
      <c r="G102" s="402">
        <f t="shared" si="5"/>
        <v>10000</v>
      </c>
      <c r="H102" s="402">
        <f>15000+10000-15000</f>
        <v>10000</v>
      </c>
      <c r="I102" s="403"/>
      <c r="J102" s="403"/>
    </row>
    <row r="103" spans="1:10" s="197" customFormat="1" ht="42" customHeight="1">
      <c r="A103" s="144" t="s">
        <v>310</v>
      </c>
      <c r="B103" s="267" t="s">
        <v>311</v>
      </c>
      <c r="C103" s="267" t="s">
        <v>272</v>
      </c>
      <c r="D103" s="198" t="s">
        <v>312</v>
      </c>
      <c r="E103" s="276"/>
      <c r="F103" s="202"/>
      <c r="G103" s="201">
        <f t="shared" si="5"/>
        <v>737731</v>
      </c>
      <c r="H103" s="201">
        <f>SUM(H104)</f>
        <v>737731</v>
      </c>
      <c r="I103" s="201">
        <f>SUM(I104)</f>
        <v>0</v>
      </c>
      <c r="J103" s="201">
        <f>SUM(J104)</f>
        <v>0</v>
      </c>
    </row>
    <row r="104" spans="1:10" s="195" customFormat="1" ht="62.25" customHeight="1">
      <c r="A104" s="99"/>
      <c r="B104" s="269"/>
      <c r="C104" s="269"/>
      <c r="D104" s="270"/>
      <c r="E104" s="277" t="s">
        <v>495</v>
      </c>
      <c r="F104" s="203" t="s">
        <v>497</v>
      </c>
      <c r="G104" s="402">
        <f t="shared" si="5"/>
        <v>737731</v>
      </c>
      <c r="H104" s="402">
        <f>622900+41991+50000+21440+1400</f>
        <v>737731</v>
      </c>
      <c r="I104" s="403"/>
      <c r="J104" s="403"/>
    </row>
    <row r="105" spans="1:10" s="197" customFormat="1" ht="89.25" customHeight="1">
      <c r="A105" s="144" t="s">
        <v>446</v>
      </c>
      <c r="B105" s="267" t="s">
        <v>447</v>
      </c>
      <c r="C105" s="267" t="s">
        <v>272</v>
      </c>
      <c r="D105" s="198" t="s">
        <v>448</v>
      </c>
      <c r="E105" s="276"/>
      <c r="F105" s="202"/>
      <c r="G105" s="201">
        <f t="shared" si="5"/>
        <v>500280</v>
      </c>
      <c r="H105" s="201">
        <f>SUM(H106)</f>
        <v>500280</v>
      </c>
      <c r="I105" s="201">
        <f>SUM(I106)</f>
        <v>0</v>
      </c>
      <c r="J105" s="201">
        <f>SUM(J106)</f>
        <v>0</v>
      </c>
    </row>
    <row r="106" spans="1:10" s="195" customFormat="1" ht="57" customHeight="1">
      <c r="A106" s="99"/>
      <c r="B106" s="269"/>
      <c r="C106" s="269"/>
      <c r="D106" s="270"/>
      <c r="E106" s="277" t="s">
        <v>495</v>
      </c>
      <c r="F106" s="203" t="s">
        <v>497</v>
      </c>
      <c r="G106" s="402">
        <f t="shared" si="5"/>
        <v>500280</v>
      </c>
      <c r="H106" s="402">
        <f>418400-50000+41770+50000+12850+25860+1400</f>
        <v>500280</v>
      </c>
      <c r="I106" s="403"/>
      <c r="J106" s="403"/>
    </row>
    <row r="107" spans="1:10" s="240" customFormat="1" ht="26.25" customHeight="1">
      <c r="A107" s="278" t="s">
        <v>128</v>
      </c>
      <c r="B107" s="278" t="s">
        <v>128</v>
      </c>
      <c r="C107" s="278" t="s">
        <v>128</v>
      </c>
      <c r="D107" s="273" t="s">
        <v>319</v>
      </c>
      <c r="E107" s="278" t="s">
        <v>128</v>
      </c>
      <c r="F107" s="279" t="s">
        <v>128</v>
      </c>
      <c r="G107" s="201">
        <f t="shared" si="2"/>
        <v>58517381</v>
      </c>
      <c r="H107" s="201">
        <f>H91+H71+H14+H79</f>
        <v>47412514</v>
      </c>
      <c r="I107" s="201">
        <f>I91+I71+I14+I79</f>
        <v>11104867</v>
      </c>
      <c r="J107" s="201">
        <f>J91+J71+J14+J79</f>
        <v>11313742</v>
      </c>
    </row>
    <row r="108" spans="1:10" s="246" customFormat="1" ht="15.75" customHeight="1">
      <c r="A108" s="280"/>
      <c r="B108" s="281"/>
      <c r="C108" s="281"/>
      <c r="D108" s="282"/>
      <c r="E108" s="283"/>
      <c r="F108" s="283"/>
      <c r="G108" s="283"/>
      <c r="H108" s="262"/>
      <c r="I108" s="284"/>
      <c r="J108" s="284"/>
    </row>
    <row r="109" spans="1:10" s="246" customFormat="1" ht="18">
      <c r="A109" s="280"/>
      <c r="B109" s="281"/>
      <c r="C109" s="281"/>
      <c r="D109" s="282"/>
      <c r="E109" s="283"/>
      <c r="F109" s="283"/>
      <c r="G109" s="283"/>
      <c r="H109" s="262"/>
      <c r="I109" s="284"/>
      <c r="J109" s="284"/>
    </row>
    <row r="110" spans="1:10" s="286" customFormat="1" ht="24.75" customHeight="1">
      <c r="A110" s="285"/>
      <c r="B110" s="568" t="str">
        <f>додаток1!A132</f>
        <v>Секретар міської ради                                                                        Наталія  ІВАНЮТА</v>
      </c>
      <c r="C110" s="568"/>
      <c r="D110" s="568"/>
      <c r="E110" s="568"/>
      <c r="F110" s="568"/>
      <c r="G110" s="568"/>
      <c r="H110" s="568"/>
      <c r="I110" s="568"/>
      <c r="J110" s="568"/>
    </row>
    <row r="111" spans="1:10" s="246" customFormat="1" ht="18">
      <c r="A111" s="280"/>
      <c r="B111" s="287"/>
      <c r="C111" s="287"/>
      <c r="D111" s="237"/>
      <c r="E111" s="284"/>
      <c r="F111" s="284"/>
      <c r="G111" s="284"/>
      <c r="H111" s="262"/>
      <c r="I111" s="284"/>
      <c r="J111" s="284"/>
    </row>
    <row r="112" spans="1:11" s="246" customFormat="1" ht="18">
      <c r="A112" s="280"/>
      <c r="B112" s="287"/>
      <c r="C112" s="287"/>
      <c r="D112" s="237"/>
      <c r="E112" s="284"/>
      <c r="F112" s="284"/>
      <c r="G112" s="284"/>
      <c r="H112" s="284"/>
      <c r="I112" s="241"/>
      <c r="J112" s="241"/>
      <c r="K112" s="244"/>
    </row>
    <row r="113" spans="1:10" s="246" customFormat="1" ht="18">
      <c r="A113" s="280"/>
      <c r="B113" s="287"/>
      <c r="C113" s="287"/>
      <c r="D113" s="237"/>
      <c r="E113" s="284"/>
      <c r="F113" s="284"/>
      <c r="G113" s="284"/>
      <c r="H113" s="262"/>
      <c r="I113" s="284"/>
      <c r="J113" s="284"/>
    </row>
    <row r="114" spans="1:10" s="246" customFormat="1" ht="18">
      <c r="A114" s="280"/>
      <c r="B114" s="287"/>
      <c r="C114" s="287"/>
      <c r="D114" s="237"/>
      <c r="E114" s="284"/>
      <c r="F114" s="284"/>
      <c r="G114" s="284"/>
      <c r="H114" s="262"/>
      <c r="I114" s="284"/>
      <c r="J114" s="284"/>
    </row>
    <row r="115" spans="1:10" s="246" customFormat="1" ht="18">
      <c r="A115" s="280"/>
      <c r="B115" s="287"/>
      <c r="C115" s="287"/>
      <c r="D115" s="237"/>
      <c r="E115" s="284"/>
      <c r="F115" s="284"/>
      <c r="G115" s="284"/>
      <c r="H115" s="262"/>
      <c r="I115" s="284"/>
      <c r="J115" s="284"/>
    </row>
    <row r="116" spans="1:10" s="246" customFormat="1" ht="18">
      <c r="A116" s="280"/>
      <c r="B116" s="287"/>
      <c r="C116" s="287"/>
      <c r="D116" s="237"/>
      <c r="E116" s="284"/>
      <c r="F116" s="284"/>
      <c r="G116" s="284"/>
      <c r="H116" s="262"/>
      <c r="I116" s="284"/>
      <c r="J116" s="284"/>
    </row>
    <row r="117" spans="1:10" s="246" customFormat="1" ht="18">
      <c r="A117" s="280"/>
      <c r="B117" s="287"/>
      <c r="C117" s="287"/>
      <c r="D117" s="237"/>
      <c r="E117" s="284"/>
      <c r="F117" s="284"/>
      <c r="G117" s="284"/>
      <c r="H117" s="262"/>
      <c r="I117" s="284"/>
      <c r="J117" s="284"/>
    </row>
    <row r="118" spans="1:10" s="246" customFormat="1" ht="18">
      <c r="A118" s="280"/>
      <c r="B118" s="287"/>
      <c r="C118" s="287"/>
      <c r="D118" s="237"/>
      <c r="E118" s="284"/>
      <c r="F118" s="284"/>
      <c r="G118" s="284"/>
      <c r="H118" s="262"/>
      <c r="I118" s="284"/>
      <c r="J118" s="284"/>
    </row>
    <row r="119" spans="1:10" s="246" customFormat="1" ht="18">
      <c r="A119" s="280"/>
      <c r="B119" s="287"/>
      <c r="C119" s="287"/>
      <c r="D119" s="237"/>
      <c r="E119" s="284"/>
      <c r="F119" s="284"/>
      <c r="G119" s="284"/>
      <c r="H119" s="262"/>
      <c r="I119" s="284"/>
      <c r="J119" s="284"/>
    </row>
    <row r="120" spans="1:10" s="246" customFormat="1" ht="18">
      <c r="A120" s="280"/>
      <c r="B120" s="287"/>
      <c r="C120" s="287"/>
      <c r="D120" s="237"/>
      <c r="E120" s="284"/>
      <c r="F120" s="284"/>
      <c r="G120" s="284"/>
      <c r="H120" s="262"/>
      <c r="I120" s="284"/>
      <c r="J120" s="284"/>
    </row>
    <row r="121" spans="1:10" s="246" customFormat="1" ht="18">
      <c r="A121" s="280"/>
      <c r="B121" s="287"/>
      <c r="C121" s="287"/>
      <c r="D121" s="237"/>
      <c r="E121" s="284"/>
      <c r="F121" s="284"/>
      <c r="G121" s="284"/>
      <c r="H121" s="262"/>
      <c r="I121" s="284"/>
      <c r="J121" s="284"/>
    </row>
    <row r="122" spans="1:10" s="246" customFormat="1" ht="18">
      <c r="A122" s="280"/>
      <c r="B122" s="287"/>
      <c r="C122" s="287"/>
      <c r="D122" s="237"/>
      <c r="E122" s="284"/>
      <c r="F122" s="284"/>
      <c r="G122" s="284"/>
      <c r="H122" s="262"/>
      <c r="I122" s="284"/>
      <c r="J122" s="284"/>
    </row>
    <row r="123" spans="1:10" s="246" customFormat="1" ht="18">
      <c r="A123" s="280"/>
      <c r="B123" s="287"/>
      <c r="C123" s="287"/>
      <c r="D123" s="237"/>
      <c r="E123" s="284"/>
      <c r="F123" s="284"/>
      <c r="G123" s="284"/>
      <c r="H123" s="262"/>
      <c r="I123" s="284"/>
      <c r="J123" s="284"/>
    </row>
    <row r="124" spans="1:10" s="246" customFormat="1" ht="18">
      <c r="A124" s="280"/>
      <c r="B124" s="287"/>
      <c r="C124" s="287"/>
      <c r="D124" s="237"/>
      <c r="E124" s="284"/>
      <c r="F124" s="284"/>
      <c r="G124" s="284"/>
      <c r="H124" s="262"/>
      <c r="I124" s="284"/>
      <c r="J124" s="284"/>
    </row>
    <row r="125" spans="1:10" s="246" customFormat="1" ht="18">
      <c r="A125" s="280"/>
      <c r="B125" s="287"/>
      <c r="C125" s="287"/>
      <c r="D125" s="237"/>
      <c r="E125" s="284"/>
      <c r="F125" s="284"/>
      <c r="G125" s="284"/>
      <c r="H125" s="262"/>
      <c r="I125" s="284"/>
      <c r="J125" s="284"/>
    </row>
    <row r="126" spans="1:10" s="246" customFormat="1" ht="18">
      <c r="A126" s="280"/>
      <c r="B126" s="287"/>
      <c r="C126" s="287"/>
      <c r="D126" s="237"/>
      <c r="E126" s="284"/>
      <c r="F126" s="284"/>
      <c r="G126" s="284"/>
      <c r="H126" s="262"/>
      <c r="I126" s="284"/>
      <c r="J126" s="284"/>
    </row>
    <row r="127" spans="1:10" s="246" customFormat="1" ht="18">
      <c r="A127" s="280"/>
      <c r="B127" s="287"/>
      <c r="C127" s="287"/>
      <c r="D127" s="237"/>
      <c r="E127" s="284"/>
      <c r="F127" s="284"/>
      <c r="G127" s="284"/>
      <c r="H127" s="262"/>
      <c r="I127" s="284"/>
      <c r="J127" s="284"/>
    </row>
    <row r="128" spans="1:10" s="246" customFormat="1" ht="18">
      <c r="A128" s="280"/>
      <c r="B128" s="287"/>
      <c r="C128" s="287"/>
      <c r="D128" s="237"/>
      <c r="E128" s="284"/>
      <c r="F128" s="284"/>
      <c r="G128" s="284"/>
      <c r="H128" s="262"/>
      <c r="I128" s="284"/>
      <c r="J128" s="284"/>
    </row>
    <row r="129" spans="1:10" s="246" customFormat="1" ht="18">
      <c r="A129" s="280"/>
      <c r="B129" s="287"/>
      <c r="C129" s="287"/>
      <c r="D129" s="237"/>
      <c r="E129" s="284"/>
      <c r="F129" s="284"/>
      <c r="G129" s="284"/>
      <c r="H129" s="262"/>
      <c r="I129" s="284"/>
      <c r="J129" s="284"/>
    </row>
    <row r="130" spans="1:10" s="246" customFormat="1" ht="18">
      <c r="A130" s="280"/>
      <c r="B130" s="287"/>
      <c r="C130" s="287"/>
      <c r="D130" s="237"/>
      <c r="E130" s="284"/>
      <c r="F130" s="284"/>
      <c r="G130" s="284"/>
      <c r="H130" s="262"/>
      <c r="I130" s="284"/>
      <c r="J130" s="284"/>
    </row>
    <row r="131" spans="1:10" s="246" customFormat="1" ht="18">
      <c r="A131" s="280"/>
      <c r="B131" s="287"/>
      <c r="C131" s="287"/>
      <c r="D131" s="237"/>
      <c r="E131" s="284"/>
      <c r="F131" s="284"/>
      <c r="G131" s="284"/>
      <c r="H131" s="262"/>
      <c r="I131" s="284"/>
      <c r="J131" s="284"/>
    </row>
    <row r="132" spans="1:10" s="246" customFormat="1" ht="18">
      <c r="A132" s="280"/>
      <c r="B132" s="287"/>
      <c r="C132" s="287"/>
      <c r="D132" s="237"/>
      <c r="E132" s="284"/>
      <c r="F132" s="284"/>
      <c r="G132" s="284"/>
      <c r="H132" s="262"/>
      <c r="I132" s="284"/>
      <c r="J132" s="284"/>
    </row>
    <row r="133" spans="1:10" s="246" customFormat="1" ht="18">
      <c r="A133" s="280"/>
      <c r="B133" s="287"/>
      <c r="C133" s="287"/>
      <c r="D133" s="237"/>
      <c r="E133" s="284"/>
      <c r="F133" s="284"/>
      <c r="G133" s="284"/>
      <c r="H133" s="262"/>
      <c r="I133" s="284"/>
      <c r="J133" s="284"/>
    </row>
    <row r="134" spans="1:10" s="246" customFormat="1" ht="18">
      <c r="A134" s="280"/>
      <c r="B134" s="287"/>
      <c r="C134" s="287"/>
      <c r="D134" s="237"/>
      <c r="E134" s="284"/>
      <c r="F134" s="284"/>
      <c r="G134" s="284"/>
      <c r="H134" s="262"/>
      <c r="I134" s="284"/>
      <c r="J134" s="284"/>
    </row>
    <row r="135" spans="1:10" s="246" customFormat="1" ht="18">
      <c r="A135" s="280"/>
      <c r="B135" s="287"/>
      <c r="C135" s="287"/>
      <c r="D135" s="237"/>
      <c r="E135" s="284"/>
      <c r="F135" s="284"/>
      <c r="G135" s="284"/>
      <c r="H135" s="262"/>
      <c r="I135" s="284"/>
      <c r="J135" s="284"/>
    </row>
    <row r="136" spans="1:10" s="246" customFormat="1" ht="18">
      <c r="A136" s="280"/>
      <c r="B136" s="287"/>
      <c r="C136" s="287"/>
      <c r="D136" s="237"/>
      <c r="E136" s="284"/>
      <c r="F136" s="284"/>
      <c r="G136" s="284"/>
      <c r="H136" s="262"/>
      <c r="I136" s="284"/>
      <c r="J136" s="284"/>
    </row>
    <row r="137" spans="1:10" s="246" customFormat="1" ht="18">
      <c r="A137" s="280"/>
      <c r="B137" s="287"/>
      <c r="C137" s="287"/>
      <c r="D137" s="237"/>
      <c r="E137" s="284"/>
      <c r="F137" s="284"/>
      <c r="G137" s="284"/>
      <c r="H137" s="262"/>
      <c r="I137" s="284"/>
      <c r="J137" s="284"/>
    </row>
    <row r="138" spans="1:10" s="246" customFormat="1" ht="18">
      <c r="A138" s="280"/>
      <c r="B138" s="287"/>
      <c r="C138" s="287"/>
      <c r="D138" s="237"/>
      <c r="E138" s="284"/>
      <c r="F138" s="284"/>
      <c r="G138" s="284"/>
      <c r="H138" s="262"/>
      <c r="I138" s="284"/>
      <c r="J138" s="284"/>
    </row>
    <row r="139" spans="1:10" s="246" customFormat="1" ht="18">
      <c r="A139" s="280"/>
      <c r="B139" s="287"/>
      <c r="C139" s="287"/>
      <c r="D139" s="237"/>
      <c r="E139" s="284"/>
      <c r="F139" s="284"/>
      <c r="G139" s="284"/>
      <c r="H139" s="262"/>
      <c r="I139" s="284"/>
      <c r="J139" s="284"/>
    </row>
    <row r="140" spans="1:10" s="246" customFormat="1" ht="18">
      <c r="A140" s="280"/>
      <c r="B140" s="287"/>
      <c r="C140" s="287"/>
      <c r="D140" s="237"/>
      <c r="E140" s="284"/>
      <c r="F140" s="284"/>
      <c r="G140" s="284"/>
      <c r="H140" s="262"/>
      <c r="I140" s="284"/>
      <c r="J140" s="284"/>
    </row>
    <row r="141" spans="1:10" s="246" customFormat="1" ht="18">
      <c r="A141" s="280"/>
      <c r="B141" s="287"/>
      <c r="C141" s="287"/>
      <c r="D141" s="237"/>
      <c r="E141" s="284"/>
      <c r="F141" s="284"/>
      <c r="G141" s="284"/>
      <c r="H141" s="262"/>
      <c r="I141" s="284"/>
      <c r="J141" s="284"/>
    </row>
    <row r="142" spans="1:10" s="246" customFormat="1" ht="18">
      <c r="A142" s="280"/>
      <c r="B142" s="287"/>
      <c r="C142" s="287"/>
      <c r="D142" s="237"/>
      <c r="E142" s="284"/>
      <c r="F142" s="284"/>
      <c r="G142" s="284"/>
      <c r="H142" s="262"/>
      <c r="I142" s="284"/>
      <c r="J142" s="284"/>
    </row>
    <row r="143" spans="1:10" s="246" customFormat="1" ht="18">
      <c r="A143" s="280"/>
      <c r="B143" s="287"/>
      <c r="C143" s="287"/>
      <c r="D143" s="237"/>
      <c r="E143" s="284"/>
      <c r="F143" s="284"/>
      <c r="G143" s="284"/>
      <c r="H143" s="262"/>
      <c r="I143" s="284"/>
      <c r="J143" s="284"/>
    </row>
    <row r="144" spans="1:10" s="246" customFormat="1" ht="18">
      <c r="A144" s="280"/>
      <c r="B144" s="287"/>
      <c r="C144" s="287"/>
      <c r="D144" s="237"/>
      <c r="E144" s="284"/>
      <c r="F144" s="284"/>
      <c r="G144" s="284"/>
      <c r="H144" s="262"/>
      <c r="I144" s="284"/>
      <c r="J144" s="284"/>
    </row>
    <row r="145" spans="2:10" ht="18">
      <c r="B145" s="288"/>
      <c r="C145" s="288"/>
      <c r="D145" s="289"/>
      <c r="E145" s="241"/>
      <c r="F145" s="241"/>
      <c r="G145" s="241"/>
      <c r="H145" s="290"/>
      <c r="I145" s="241"/>
      <c r="J145" s="241"/>
    </row>
    <row r="146" spans="2:10" ht="18">
      <c r="B146" s="288"/>
      <c r="C146" s="288"/>
      <c r="D146" s="289"/>
      <c r="E146" s="241"/>
      <c r="F146" s="241"/>
      <c r="G146" s="241"/>
      <c r="H146" s="290"/>
      <c r="I146" s="241"/>
      <c r="J146" s="241"/>
    </row>
    <row r="147" spans="2:10" ht="18">
      <c r="B147" s="288"/>
      <c r="C147" s="288"/>
      <c r="D147" s="289"/>
      <c r="E147" s="241"/>
      <c r="F147" s="241"/>
      <c r="G147" s="241"/>
      <c r="H147" s="290"/>
      <c r="I147" s="241"/>
      <c r="J147" s="241"/>
    </row>
    <row r="148" spans="2:10" ht="18">
      <c r="B148" s="288"/>
      <c r="C148" s="288"/>
      <c r="D148" s="289"/>
      <c r="E148" s="241"/>
      <c r="F148" s="241"/>
      <c r="G148" s="241"/>
      <c r="H148" s="290"/>
      <c r="I148" s="241"/>
      <c r="J148" s="241"/>
    </row>
    <row r="149" spans="2:10" ht="18">
      <c r="B149" s="288"/>
      <c r="C149" s="288"/>
      <c r="D149" s="289"/>
      <c r="E149" s="241"/>
      <c r="F149" s="241"/>
      <c r="G149" s="241"/>
      <c r="H149" s="290"/>
      <c r="I149" s="241"/>
      <c r="J149" s="241"/>
    </row>
    <row r="150" spans="2:10" ht="18">
      <c r="B150" s="288"/>
      <c r="C150" s="288"/>
      <c r="D150" s="289"/>
      <c r="E150" s="241"/>
      <c r="F150" s="241"/>
      <c r="G150" s="241"/>
      <c r="H150" s="290"/>
      <c r="I150" s="241"/>
      <c r="J150" s="241"/>
    </row>
    <row r="151" spans="2:10" ht="18">
      <c r="B151" s="288"/>
      <c r="C151" s="288"/>
      <c r="D151" s="289"/>
      <c r="E151" s="241"/>
      <c r="F151" s="241"/>
      <c r="G151" s="241"/>
      <c r="H151" s="290"/>
      <c r="I151" s="241"/>
      <c r="J151" s="241"/>
    </row>
    <row r="152" spans="2:10" ht="18">
      <c r="B152" s="288"/>
      <c r="C152" s="288"/>
      <c r="D152" s="289"/>
      <c r="E152" s="241"/>
      <c r="F152" s="241"/>
      <c r="G152" s="241"/>
      <c r="H152" s="290"/>
      <c r="I152" s="241"/>
      <c r="J152" s="241"/>
    </row>
    <row r="153" spans="2:10" ht="18">
      <c r="B153" s="288"/>
      <c r="C153" s="288"/>
      <c r="D153" s="289"/>
      <c r="E153" s="241"/>
      <c r="F153" s="241"/>
      <c r="G153" s="241"/>
      <c r="H153" s="290"/>
      <c r="I153" s="241"/>
      <c r="J153" s="241"/>
    </row>
    <row r="154" spans="2:10" ht="18">
      <c r="B154" s="288"/>
      <c r="C154" s="288"/>
      <c r="D154" s="289"/>
      <c r="E154" s="241"/>
      <c r="F154" s="241"/>
      <c r="G154" s="241"/>
      <c r="H154" s="290"/>
      <c r="I154" s="241"/>
      <c r="J154" s="241"/>
    </row>
    <row r="155" spans="2:10" ht="18">
      <c r="B155" s="288"/>
      <c r="C155" s="288"/>
      <c r="D155" s="289"/>
      <c r="E155" s="241"/>
      <c r="F155" s="241"/>
      <c r="G155" s="241"/>
      <c r="H155" s="290"/>
      <c r="I155" s="241"/>
      <c r="J155" s="241"/>
    </row>
    <row r="156" spans="2:10" ht="18">
      <c r="B156" s="288"/>
      <c r="C156" s="288"/>
      <c r="D156" s="289"/>
      <c r="E156" s="241"/>
      <c r="F156" s="241"/>
      <c r="G156" s="241"/>
      <c r="H156" s="290"/>
      <c r="I156" s="241"/>
      <c r="J156" s="241"/>
    </row>
    <row r="157" spans="2:10" ht="18">
      <c r="B157" s="288"/>
      <c r="C157" s="288"/>
      <c r="D157" s="289"/>
      <c r="E157" s="241"/>
      <c r="F157" s="241"/>
      <c r="G157" s="241"/>
      <c r="H157" s="290"/>
      <c r="I157" s="241"/>
      <c r="J157" s="241"/>
    </row>
    <row r="158" spans="2:10" ht="18">
      <c r="B158" s="288"/>
      <c r="C158" s="288"/>
      <c r="D158" s="289"/>
      <c r="E158" s="241"/>
      <c r="F158" s="241"/>
      <c r="G158" s="241"/>
      <c r="H158" s="290"/>
      <c r="I158" s="241"/>
      <c r="J158" s="241"/>
    </row>
    <row r="159" spans="2:10" ht="18">
      <c r="B159" s="288"/>
      <c r="C159" s="288"/>
      <c r="D159" s="289"/>
      <c r="E159" s="241"/>
      <c r="F159" s="241"/>
      <c r="G159" s="241"/>
      <c r="H159" s="290"/>
      <c r="I159" s="241"/>
      <c r="J159" s="241"/>
    </row>
    <row r="160" spans="2:10" ht="18">
      <c r="B160" s="288"/>
      <c r="C160" s="288"/>
      <c r="D160" s="289"/>
      <c r="E160" s="241"/>
      <c r="F160" s="241"/>
      <c r="G160" s="241"/>
      <c r="H160" s="290"/>
      <c r="I160" s="241"/>
      <c r="J160" s="241"/>
    </row>
    <row r="161" spans="2:10" ht="18">
      <c r="B161" s="288"/>
      <c r="C161" s="288"/>
      <c r="D161" s="289"/>
      <c r="E161" s="241"/>
      <c r="F161" s="241"/>
      <c r="G161" s="241"/>
      <c r="H161" s="290"/>
      <c r="I161" s="241"/>
      <c r="J161" s="241"/>
    </row>
    <row r="162" spans="2:10" ht="18">
      <c r="B162" s="288"/>
      <c r="C162" s="288"/>
      <c r="D162" s="289"/>
      <c r="E162" s="241"/>
      <c r="F162" s="241"/>
      <c r="G162" s="241"/>
      <c r="H162" s="290"/>
      <c r="I162" s="241"/>
      <c r="J162" s="241"/>
    </row>
    <row r="163" spans="2:10" ht="18">
      <c r="B163" s="288"/>
      <c r="C163" s="288"/>
      <c r="D163" s="289"/>
      <c r="E163" s="241"/>
      <c r="F163" s="241"/>
      <c r="G163" s="241"/>
      <c r="H163" s="290"/>
      <c r="I163" s="241"/>
      <c r="J163" s="241"/>
    </row>
    <row r="164" spans="2:10" ht="18">
      <c r="B164" s="288"/>
      <c r="C164" s="288"/>
      <c r="D164" s="289"/>
      <c r="E164" s="241"/>
      <c r="F164" s="241"/>
      <c r="G164" s="241"/>
      <c r="H164" s="290"/>
      <c r="I164" s="241"/>
      <c r="J164" s="241"/>
    </row>
    <row r="165" spans="2:10" ht="18">
      <c r="B165" s="288"/>
      <c r="C165" s="288"/>
      <c r="D165" s="289"/>
      <c r="E165" s="241"/>
      <c r="F165" s="241"/>
      <c r="G165" s="241"/>
      <c r="H165" s="290"/>
      <c r="I165" s="241"/>
      <c r="J165" s="241"/>
    </row>
    <row r="166" spans="2:10" ht="18">
      <c r="B166" s="288"/>
      <c r="C166" s="288"/>
      <c r="D166" s="289"/>
      <c r="E166" s="241"/>
      <c r="F166" s="241"/>
      <c r="G166" s="241"/>
      <c r="H166" s="290"/>
      <c r="I166" s="241"/>
      <c r="J166" s="241"/>
    </row>
    <row r="167" spans="2:10" ht="18">
      <c r="B167" s="288"/>
      <c r="C167" s="288"/>
      <c r="D167" s="289"/>
      <c r="E167" s="241"/>
      <c r="F167" s="241"/>
      <c r="G167" s="241"/>
      <c r="H167" s="290"/>
      <c r="I167" s="241"/>
      <c r="J167" s="241"/>
    </row>
    <row r="168" spans="2:10" ht="18">
      <c r="B168" s="288"/>
      <c r="C168" s="288"/>
      <c r="D168" s="289"/>
      <c r="E168" s="241"/>
      <c r="F168" s="241"/>
      <c r="G168" s="241"/>
      <c r="H168" s="290"/>
      <c r="I168" s="241"/>
      <c r="J168" s="241"/>
    </row>
    <row r="169" spans="2:10" ht="18">
      <c r="B169" s="288"/>
      <c r="C169" s="288"/>
      <c r="D169" s="289"/>
      <c r="E169" s="241"/>
      <c r="F169" s="241"/>
      <c r="G169" s="241"/>
      <c r="H169" s="290"/>
      <c r="I169" s="241"/>
      <c r="J169" s="241"/>
    </row>
    <row r="170" spans="2:10" ht="18">
      <c r="B170" s="288"/>
      <c r="C170" s="288"/>
      <c r="D170" s="289"/>
      <c r="E170" s="241"/>
      <c r="F170" s="241"/>
      <c r="G170" s="241"/>
      <c r="H170" s="290"/>
      <c r="I170" s="241"/>
      <c r="J170" s="241"/>
    </row>
    <row r="171" spans="2:10" ht="18">
      <c r="B171" s="288"/>
      <c r="C171" s="288"/>
      <c r="D171" s="289"/>
      <c r="E171" s="241"/>
      <c r="F171" s="241"/>
      <c r="G171" s="241"/>
      <c r="H171" s="290"/>
      <c r="I171" s="241"/>
      <c r="J171" s="241"/>
    </row>
    <row r="172" spans="2:10" ht="18">
      <c r="B172" s="288"/>
      <c r="C172" s="288"/>
      <c r="D172" s="289"/>
      <c r="E172" s="241"/>
      <c r="F172" s="241"/>
      <c r="G172" s="241"/>
      <c r="H172" s="290"/>
      <c r="I172" s="241"/>
      <c r="J172" s="241"/>
    </row>
    <row r="173" spans="2:10" ht="18">
      <c r="B173" s="288"/>
      <c r="C173" s="288"/>
      <c r="D173" s="289"/>
      <c r="E173" s="241"/>
      <c r="F173" s="241"/>
      <c r="G173" s="241"/>
      <c r="H173" s="290"/>
      <c r="I173" s="241"/>
      <c r="J173" s="241"/>
    </row>
    <row r="174" spans="2:10" ht="18">
      <c r="B174" s="288"/>
      <c r="C174" s="288"/>
      <c r="D174" s="289"/>
      <c r="E174" s="241"/>
      <c r="F174" s="241"/>
      <c r="G174" s="241"/>
      <c r="H174" s="290"/>
      <c r="I174" s="241"/>
      <c r="J174" s="241"/>
    </row>
    <row r="175" spans="2:10" ht="18">
      <c r="B175" s="288"/>
      <c r="C175" s="288"/>
      <c r="D175" s="289"/>
      <c r="E175" s="241"/>
      <c r="F175" s="241"/>
      <c r="G175" s="241"/>
      <c r="H175" s="290"/>
      <c r="I175" s="241"/>
      <c r="J175" s="241"/>
    </row>
    <row r="176" spans="2:10" ht="18">
      <c r="B176" s="288"/>
      <c r="C176" s="288"/>
      <c r="D176" s="289"/>
      <c r="E176" s="241"/>
      <c r="F176" s="241"/>
      <c r="G176" s="241"/>
      <c r="H176" s="290"/>
      <c r="I176" s="241"/>
      <c r="J176" s="241"/>
    </row>
    <row r="177" spans="2:10" ht="18">
      <c r="B177" s="288"/>
      <c r="C177" s="288"/>
      <c r="D177" s="289"/>
      <c r="E177" s="241"/>
      <c r="F177" s="241"/>
      <c r="G177" s="241"/>
      <c r="H177" s="290"/>
      <c r="I177" s="241"/>
      <c r="J177" s="241"/>
    </row>
    <row r="178" spans="2:10" ht="18">
      <c r="B178" s="288"/>
      <c r="C178" s="288"/>
      <c r="D178" s="289"/>
      <c r="E178" s="241"/>
      <c r="F178" s="241"/>
      <c r="G178" s="241"/>
      <c r="H178" s="290"/>
      <c r="I178" s="241"/>
      <c r="J178" s="241"/>
    </row>
    <row r="179" spans="2:10" ht="18">
      <c r="B179" s="288"/>
      <c r="C179" s="288"/>
      <c r="D179" s="289"/>
      <c r="E179" s="241"/>
      <c r="F179" s="241"/>
      <c r="G179" s="241"/>
      <c r="H179" s="290"/>
      <c r="I179" s="241"/>
      <c r="J179" s="241"/>
    </row>
    <row r="180" spans="2:10" ht="18">
      <c r="B180" s="288"/>
      <c r="C180" s="288"/>
      <c r="D180" s="289"/>
      <c r="E180" s="241"/>
      <c r="F180" s="241"/>
      <c r="G180" s="241"/>
      <c r="H180" s="290"/>
      <c r="I180" s="241"/>
      <c r="J180" s="241"/>
    </row>
    <row r="181" spans="2:10" ht="18">
      <c r="B181" s="288"/>
      <c r="C181" s="288"/>
      <c r="D181" s="289"/>
      <c r="E181" s="241"/>
      <c r="F181" s="241"/>
      <c r="G181" s="241"/>
      <c r="H181" s="290"/>
      <c r="I181" s="241"/>
      <c r="J181" s="241"/>
    </row>
    <row r="182" spans="2:10" ht="18">
      <c r="B182" s="288"/>
      <c r="C182" s="288"/>
      <c r="D182" s="289"/>
      <c r="E182" s="241"/>
      <c r="F182" s="241"/>
      <c r="G182" s="241"/>
      <c r="H182" s="290"/>
      <c r="I182" s="241"/>
      <c r="J182" s="241"/>
    </row>
    <row r="183" spans="2:10" ht="18">
      <c r="B183" s="288"/>
      <c r="C183" s="288"/>
      <c r="D183" s="289"/>
      <c r="E183" s="241"/>
      <c r="F183" s="241"/>
      <c r="G183" s="241"/>
      <c r="H183" s="290"/>
      <c r="I183" s="241"/>
      <c r="J183" s="241"/>
    </row>
    <row r="184" spans="2:10" ht="18">
      <c r="B184" s="288"/>
      <c r="C184" s="288"/>
      <c r="D184" s="289"/>
      <c r="E184" s="241"/>
      <c r="F184" s="241"/>
      <c r="G184" s="241"/>
      <c r="H184" s="290"/>
      <c r="I184" s="241"/>
      <c r="J184" s="241"/>
    </row>
    <row r="185" spans="2:10" ht="18">
      <c r="B185" s="288"/>
      <c r="C185" s="288"/>
      <c r="D185" s="289"/>
      <c r="E185" s="241"/>
      <c r="F185" s="241"/>
      <c r="G185" s="241"/>
      <c r="H185" s="290"/>
      <c r="I185" s="241"/>
      <c r="J185" s="241"/>
    </row>
    <row r="186" spans="2:10" ht="18">
      <c r="B186" s="288"/>
      <c r="C186" s="288"/>
      <c r="D186" s="289"/>
      <c r="E186" s="241"/>
      <c r="F186" s="241"/>
      <c r="G186" s="241"/>
      <c r="H186" s="290"/>
      <c r="I186" s="241"/>
      <c r="J186" s="241"/>
    </row>
    <row r="187" spans="2:10" ht="18">
      <c r="B187" s="288"/>
      <c r="C187" s="288"/>
      <c r="D187" s="289"/>
      <c r="E187" s="241"/>
      <c r="F187" s="241"/>
      <c r="G187" s="241"/>
      <c r="H187" s="290"/>
      <c r="I187" s="241"/>
      <c r="J187" s="241"/>
    </row>
    <row r="188" spans="2:10" ht="18">
      <c r="B188" s="288"/>
      <c r="C188" s="288"/>
      <c r="D188" s="289"/>
      <c r="E188" s="241"/>
      <c r="F188" s="241"/>
      <c r="G188" s="241"/>
      <c r="H188" s="290"/>
      <c r="I188" s="241"/>
      <c r="J188" s="241"/>
    </row>
    <row r="189" spans="2:10" ht="18">
      <c r="B189" s="288"/>
      <c r="C189" s="288"/>
      <c r="D189" s="289"/>
      <c r="E189" s="241"/>
      <c r="F189" s="241"/>
      <c r="G189" s="241"/>
      <c r="H189" s="290"/>
      <c r="I189" s="241"/>
      <c r="J189" s="241"/>
    </row>
    <row r="190" spans="2:10" ht="18">
      <c r="B190" s="288"/>
      <c r="C190" s="288"/>
      <c r="D190" s="289"/>
      <c r="E190" s="241"/>
      <c r="F190" s="241"/>
      <c r="G190" s="241"/>
      <c r="H190" s="290"/>
      <c r="I190" s="241"/>
      <c r="J190" s="241"/>
    </row>
    <row r="191" spans="2:10" ht="18">
      <c r="B191" s="288"/>
      <c r="C191" s="288"/>
      <c r="D191" s="289"/>
      <c r="E191" s="241"/>
      <c r="F191" s="241"/>
      <c r="G191" s="241"/>
      <c r="H191" s="290"/>
      <c r="I191" s="241"/>
      <c r="J191" s="241"/>
    </row>
    <row r="192" spans="2:10" ht="18">
      <c r="B192" s="288"/>
      <c r="C192" s="288"/>
      <c r="D192" s="289"/>
      <c r="E192" s="241"/>
      <c r="F192" s="241"/>
      <c r="G192" s="241"/>
      <c r="H192" s="290"/>
      <c r="I192" s="241"/>
      <c r="J192" s="241"/>
    </row>
    <row r="193" spans="2:10" ht="18">
      <c r="B193" s="288"/>
      <c r="C193" s="288"/>
      <c r="D193" s="289"/>
      <c r="E193" s="241"/>
      <c r="F193" s="241"/>
      <c r="G193" s="241"/>
      <c r="H193" s="290"/>
      <c r="I193" s="241"/>
      <c r="J193" s="241"/>
    </row>
    <row r="194" spans="2:10" ht="18">
      <c r="B194" s="288"/>
      <c r="C194" s="288"/>
      <c r="D194" s="289"/>
      <c r="E194" s="241"/>
      <c r="F194" s="241"/>
      <c r="G194" s="241"/>
      <c r="H194" s="290"/>
      <c r="I194" s="241"/>
      <c r="J194" s="241"/>
    </row>
    <row r="195" spans="2:10" ht="18">
      <c r="B195" s="288"/>
      <c r="C195" s="288"/>
      <c r="D195" s="289"/>
      <c r="E195" s="241"/>
      <c r="F195" s="241"/>
      <c r="G195" s="241"/>
      <c r="H195" s="290"/>
      <c r="I195" s="241"/>
      <c r="J195" s="241"/>
    </row>
    <row r="196" spans="2:10" ht="18">
      <c r="B196" s="288"/>
      <c r="C196" s="288"/>
      <c r="D196" s="289"/>
      <c r="E196" s="241"/>
      <c r="F196" s="241"/>
      <c r="G196" s="241"/>
      <c r="H196" s="290"/>
      <c r="I196" s="241"/>
      <c r="J196" s="241"/>
    </row>
    <row r="197" spans="2:10" ht="18">
      <c r="B197" s="288"/>
      <c r="C197" s="288"/>
      <c r="D197" s="289"/>
      <c r="E197" s="241"/>
      <c r="F197" s="241"/>
      <c r="G197" s="241"/>
      <c r="H197" s="290"/>
      <c r="I197" s="241"/>
      <c r="J197" s="241"/>
    </row>
    <row r="198" spans="2:10" ht="18">
      <c r="B198" s="288"/>
      <c r="C198" s="288"/>
      <c r="D198" s="289"/>
      <c r="E198" s="241"/>
      <c r="F198" s="241"/>
      <c r="G198" s="241"/>
      <c r="H198" s="290"/>
      <c r="I198" s="241"/>
      <c r="J198" s="241"/>
    </row>
    <row r="199" spans="2:10" ht="18">
      <c r="B199" s="288"/>
      <c r="C199" s="288"/>
      <c r="D199" s="289"/>
      <c r="E199" s="241"/>
      <c r="F199" s="241"/>
      <c r="G199" s="241"/>
      <c r="H199" s="290"/>
      <c r="I199" s="241"/>
      <c r="J199" s="241"/>
    </row>
    <row r="200" spans="2:10" ht="18">
      <c r="B200" s="288"/>
      <c r="C200" s="288"/>
      <c r="D200" s="289"/>
      <c r="E200" s="241"/>
      <c r="F200" s="241"/>
      <c r="G200" s="241"/>
      <c r="H200" s="290"/>
      <c r="I200" s="241"/>
      <c r="J200" s="241"/>
    </row>
    <row r="201" spans="2:10" ht="18">
      <c r="B201" s="288"/>
      <c r="C201" s="288"/>
      <c r="D201" s="289"/>
      <c r="E201" s="241"/>
      <c r="F201" s="241"/>
      <c r="G201" s="241"/>
      <c r="H201" s="290"/>
      <c r="I201" s="241"/>
      <c r="J201" s="241"/>
    </row>
    <row r="202" spans="2:10" ht="18">
      <c r="B202" s="288"/>
      <c r="C202" s="288"/>
      <c r="D202" s="289"/>
      <c r="E202" s="241"/>
      <c r="F202" s="241"/>
      <c r="G202" s="241"/>
      <c r="H202" s="290"/>
      <c r="I202" s="241"/>
      <c r="J202" s="241"/>
    </row>
    <row r="203" spans="2:10" ht="18">
      <c r="B203" s="288"/>
      <c r="C203" s="288"/>
      <c r="D203" s="289"/>
      <c r="E203" s="241"/>
      <c r="F203" s="241"/>
      <c r="G203" s="241"/>
      <c r="H203" s="290"/>
      <c r="I203" s="241"/>
      <c r="J203" s="241"/>
    </row>
    <row r="204" spans="2:10" ht="18">
      <c r="B204" s="288"/>
      <c r="C204" s="288"/>
      <c r="D204" s="289"/>
      <c r="E204" s="241"/>
      <c r="F204" s="241"/>
      <c r="G204" s="241"/>
      <c r="H204" s="290"/>
      <c r="I204" s="241"/>
      <c r="J204" s="241"/>
    </row>
    <row r="205" spans="2:10" ht="18">
      <c r="B205" s="288"/>
      <c r="C205" s="288"/>
      <c r="D205" s="289"/>
      <c r="E205" s="241"/>
      <c r="F205" s="241"/>
      <c r="G205" s="241"/>
      <c r="H205" s="290"/>
      <c r="I205" s="241"/>
      <c r="J205" s="241"/>
    </row>
  </sheetData>
  <sheetProtection/>
  <mergeCells count="19">
    <mergeCell ref="I11:J11"/>
    <mergeCell ref="B110:J110"/>
    <mergeCell ref="A11:A12"/>
    <mergeCell ref="B11:B12"/>
    <mergeCell ref="C11:C12"/>
    <mergeCell ref="D11:D12"/>
    <mergeCell ref="E11:E12"/>
    <mergeCell ref="H11:H12"/>
    <mergeCell ref="F11:F12"/>
    <mergeCell ref="G11:G12"/>
    <mergeCell ref="B7:J7"/>
    <mergeCell ref="A8:B8"/>
    <mergeCell ref="A9:B9"/>
    <mergeCell ref="G1:J1"/>
    <mergeCell ref="G2:J2"/>
    <mergeCell ref="G3:J3"/>
    <mergeCell ref="G4:J4"/>
    <mergeCell ref="F5:J5"/>
    <mergeCell ref="H6:J6"/>
  </mergeCells>
  <printOptions/>
  <pageMargins left="0.6299212598425197" right="0.3937007874015748" top="0.48" bottom="0.41" header="0.42" footer="0.38"/>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2023-10-27T07:56:35Z</cp:lastPrinted>
  <dcterms:created xsi:type="dcterms:W3CDTF">2010-12-30T07:19:15Z</dcterms:created>
  <dcterms:modified xsi:type="dcterms:W3CDTF">2023-11-02T13:56:31Z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