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792" activeTab="0"/>
  </bookViews>
  <sheets>
    <sheet name="ЦРЛ (5)" sheetId="1" r:id="rId1"/>
    <sheet name="Титул. " sheetId="2" r:id="rId2"/>
  </sheets>
  <definedNames>
    <definedName name="_xlnm.Print_Area" localSheetId="1">'Титул. '!$A$1:$S$20</definedName>
    <definedName name="_xlnm.Print_Area" localSheetId="0">'ЦРЛ (5)'!$A$2:$R$437</definedName>
  </definedNames>
  <calcPr fullCalcOnLoad="1"/>
</workbook>
</file>

<file path=xl/comments1.xml><?xml version="1.0" encoding="utf-8"?>
<comments xmlns="http://schemas.openxmlformats.org/spreadsheetml/2006/main">
  <authors>
    <author>Ekonomist</author>
    <author>Віктор</author>
    <author>TD</author>
  </authors>
  <commentList>
    <comment ref="C29" authorId="0">
      <text>
        <r>
          <rPr>
            <b/>
            <sz val="9"/>
            <rFont val="Tahoma"/>
            <family val="2"/>
          </rPr>
          <t>Ekonomist:</t>
        </r>
        <r>
          <rPr>
            <sz val="9"/>
            <rFont val="Tahoma"/>
            <family val="2"/>
          </rPr>
          <t xml:space="preserve">
п</t>
        </r>
        <r>
          <rPr>
            <sz val="14"/>
            <rFont val="Tahoma"/>
            <family val="2"/>
          </rPr>
          <t>ерепрофільовано лише на 2018
 рік</t>
        </r>
        <r>
          <rPr>
            <sz val="9"/>
            <rFont val="Tahoma"/>
            <family val="2"/>
          </rPr>
          <t xml:space="preserve">
</t>
        </r>
      </text>
    </comment>
    <comment ref="C38" authorId="0">
      <text>
        <r>
          <rPr>
            <b/>
            <sz val="9"/>
            <rFont val="Tahoma"/>
            <family val="2"/>
          </rPr>
          <t>Ekonomist: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перепрофільовано 0,25 на І. Відділ кадрів лише на 2017
</t>
        </r>
      </text>
    </comment>
    <comment ref="N152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658,12</t>
        </r>
      </text>
    </comment>
    <comment ref="N153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658,12</t>
        </r>
      </text>
    </comment>
    <comment ref="N154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658,12</t>
        </r>
      </text>
    </comment>
    <comment ref="N155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658,12</t>
        </r>
      </text>
    </comment>
    <comment ref="N156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456,90</t>
        </r>
      </text>
    </comment>
    <comment ref="N178" authorId="1">
      <text>
        <r>
          <rPr>
            <b/>
            <sz val="10"/>
            <rFont val="Tahoma"/>
            <family val="2"/>
          </rPr>
          <t>Віктор:</t>
        </r>
        <r>
          <rPr>
            <sz val="10"/>
            <rFont val="Tahoma"/>
            <family val="2"/>
          </rPr>
          <t xml:space="preserve">
789,75</t>
        </r>
      </text>
    </comment>
    <comment ref="C206" authorId="2">
      <text>
        <r>
          <rPr>
            <b/>
            <sz val="9"/>
            <rFont val="Tahoma"/>
            <family val="2"/>
          </rPr>
          <t>TD:</t>
        </r>
        <r>
          <rPr>
            <sz val="9"/>
            <rFont val="Tahoma"/>
            <family val="2"/>
          </rPr>
          <t xml:space="preserve">
0,25 вакантних
</t>
        </r>
      </text>
    </comment>
    <comment ref="C210" authorId="2">
      <text>
        <r>
          <rPr>
            <b/>
            <sz val="9"/>
            <rFont val="Tahoma"/>
            <family val="2"/>
          </rPr>
          <t xml:space="preserve">TD:вакантне
</t>
        </r>
      </text>
    </comment>
    <comment ref="N279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1017,20</t>
        </r>
      </text>
    </comment>
    <comment ref="N280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847,66</t>
        </r>
      </text>
    </comment>
    <comment ref="N281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847,66</t>
        </r>
      </text>
    </comment>
    <comment ref="N318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921,37</t>
        </r>
      </text>
    </comment>
  </commentList>
</comments>
</file>

<file path=xl/sharedStrings.xml><?xml version="1.0" encoding="utf-8"?>
<sst xmlns="http://schemas.openxmlformats.org/spreadsheetml/2006/main" count="445" uniqueCount="321">
  <si>
    <t>Начальник відділу кадрів</t>
  </si>
  <si>
    <t>№ пп</t>
  </si>
  <si>
    <t>Назва структурного підрозділу та посад</t>
  </si>
  <si>
    <t>К-сть штат. посад</t>
  </si>
  <si>
    <t>Фонд заробі тної плати на місяць (грн.)</t>
  </si>
  <si>
    <t>Розряд</t>
  </si>
  <si>
    <t>Завідув. І  старши нство</t>
  </si>
  <si>
    <t>Катего рія</t>
  </si>
  <si>
    <t>Шкід ливі- сть</t>
  </si>
  <si>
    <t>За санітар ний автомо біль</t>
  </si>
  <si>
    <t>За полік лініку</t>
  </si>
  <si>
    <t>(затверджені в межах чисельності)</t>
  </si>
  <si>
    <t>Посадов. оклад</t>
  </si>
  <si>
    <t>Інженер з охорони праці</t>
  </si>
  <si>
    <t>Архіваріус</t>
  </si>
  <si>
    <t>Слюсар водопостачання ІІІ розряду</t>
  </si>
  <si>
    <t>Ліфтер</t>
  </si>
  <si>
    <t>Майстер по ремонту мед. обладнання</t>
  </si>
  <si>
    <t>Разом:</t>
  </si>
  <si>
    <t>Кухар ІV розряду</t>
  </si>
  <si>
    <t>Кухонний робітник</t>
  </si>
  <si>
    <t>Механік</t>
  </si>
  <si>
    <t xml:space="preserve">          </t>
  </si>
  <si>
    <t>РАЗОМ  ПО РОЗДІЛУ  ІІ:</t>
  </si>
  <si>
    <t>ВСЬОГО ПО РОЗДІЛУ І-ІІ</t>
  </si>
  <si>
    <t>Поса дов. оклад</t>
  </si>
  <si>
    <t>Головний бухгалтер</t>
  </si>
  <si>
    <t xml:space="preserve">Економіст </t>
  </si>
  <si>
    <t xml:space="preserve">              </t>
  </si>
  <si>
    <t xml:space="preserve">Розряд </t>
  </si>
  <si>
    <t>Дезинфектор</t>
  </si>
  <si>
    <t>Молодша медична сестра стерилізації</t>
  </si>
  <si>
    <t xml:space="preserve">Жіноча консультація                    </t>
  </si>
  <si>
    <t xml:space="preserve">           </t>
  </si>
  <si>
    <t>Сестра господарка поліклініки</t>
  </si>
  <si>
    <t>Молодша медсестра – прибиральниці поліклініки</t>
  </si>
  <si>
    <t xml:space="preserve">        </t>
  </si>
  <si>
    <t>Сестра господарка</t>
  </si>
  <si>
    <t>Фізіотерапевтичний кабінет</t>
  </si>
  <si>
    <t>Молодша медсестра</t>
  </si>
  <si>
    <t>Операційний блок</t>
  </si>
  <si>
    <t>Молодша медсестра – приб. операційна</t>
  </si>
  <si>
    <t>Молодша медсестра – приб.</t>
  </si>
  <si>
    <t>Завідувач реанімаційним відділенням лікар-анестезіолог  І кат.</t>
  </si>
  <si>
    <t>Молодші:</t>
  </si>
  <si>
    <t>Молодша медсестра- приб.</t>
  </si>
  <si>
    <t>Лікарі</t>
  </si>
  <si>
    <t>лікарі</t>
  </si>
  <si>
    <t>молодші</t>
  </si>
  <si>
    <t>інші</t>
  </si>
  <si>
    <t>ХАРЧОБЛОК</t>
  </si>
  <si>
    <t xml:space="preserve">             </t>
  </si>
  <si>
    <t>Середні:</t>
  </si>
  <si>
    <t>Інші:</t>
  </si>
  <si>
    <t>Лікарі:</t>
  </si>
  <si>
    <t>Фахівці:</t>
  </si>
  <si>
    <t>Приймальне відділення</t>
  </si>
  <si>
    <t>Інших:</t>
  </si>
  <si>
    <t xml:space="preserve">Фахівці з базою та </t>
  </si>
  <si>
    <t>№  пп</t>
  </si>
  <si>
    <t>Найменування закладів</t>
  </si>
  <si>
    <t>Місце знаходження</t>
  </si>
  <si>
    <t>К-ть закладів</t>
  </si>
  <si>
    <t>К-ть ліжок</t>
  </si>
  <si>
    <t>Потужнісь амб.полікл.</t>
  </si>
  <si>
    <t>К-ть л/днів на</t>
  </si>
  <si>
    <t xml:space="preserve">Разом </t>
  </si>
  <si>
    <t>В тому числі</t>
  </si>
  <si>
    <t>місто</t>
  </si>
  <si>
    <t>село</t>
  </si>
  <si>
    <t>штати</t>
  </si>
  <si>
    <t>ФЗП</t>
  </si>
  <si>
    <t xml:space="preserve">Фахівці </t>
  </si>
  <si>
    <t>Штат од</t>
  </si>
  <si>
    <t>-</t>
  </si>
  <si>
    <t>Титульний список</t>
  </si>
  <si>
    <t xml:space="preserve"> </t>
  </si>
  <si>
    <t>Молодша медична сестра -буфетниця</t>
  </si>
  <si>
    <t>Молодша медична сестра - буфетниця</t>
  </si>
  <si>
    <t>До штатного розпису</t>
  </si>
  <si>
    <t>Поліклініка</t>
  </si>
  <si>
    <t>Молодший персонал</t>
  </si>
  <si>
    <t>Загальнолікарняний персонал</t>
  </si>
  <si>
    <t xml:space="preserve">                                                    Допоміжні лікувально-діагностичні підрозділи та аптека</t>
  </si>
  <si>
    <t xml:space="preserve">               Рентгенівське відділення</t>
  </si>
  <si>
    <t>Охоронець</t>
  </si>
  <si>
    <t>Інженер - енергетик</t>
  </si>
  <si>
    <t>Машиніст із прання та ремонту спецодягу</t>
  </si>
  <si>
    <t>Завідуючий складом</t>
  </si>
  <si>
    <t>Прибиральниця службових приміщень</t>
  </si>
  <si>
    <t>Молодша медсестра - аптеки</t>
  </si>
  <si>
    <t>Сестра медична стаціонару (палатна) Вища кат.</t>
  </si>
  <si>
    <t>Молодша медсестра – приб. Стаціонару (палатна)</t>
  </si>
  <si>
    <t>Молодша медсестра  - приб. Стаціонару (палатна)</t>
  </si>
  <si>
    <t>Молодша медсестра – приб.  Стаціонару (палатна)</t>
  </si>
  <si>
    <t>Відділення анестезіології з ліжками для інтенсивної терапії 6 ліжок</t>
  </si>
  <si>
    <t>В т. ч. Спеціалісти немедики</t>
  </si>
  <si>
    <t>За стаж роботи</t>
  </si>
  <si>
    <t>РАЗОМ  ПО РОЗДІЛУ  І:</t>
  </si>
  <si>
    <t>Секретар</t>
  </si>
  <si>
    <t xml:space="preserve">  </t>
  </si>
  <si>
    <t>Підвищення посадового окладу (грн.)</t>
  </si>
  <si>
    <t>посад. оклад з підвищеннями</t>
  </si>
  <si>
    <t>Надбавки (грн.)</t>
  </si>
  <si>
    <t>За тривалість роботи (участковість)</t>
  </si>
  <si>
    <t>Класність</t>
  </si>
  <si>
    <t>Доплати (грн)</t>
  </si>
  <si>
    <t>За шкідл. умови праці 12 %</t>
  </si>
  <si>
    <t>Оперативне втручання</t>
  </si>
  <si>
    <t>Сестра медична з фізіотерапії I кат.</t>
  </si>
  <si>
    <t>Бухгалтерія</t>
  </si>
  <si>
    <t>Бухгалтер з обліку основних засобів</t>
  </si>
  <si>
    <t>Бухгалтер з господарчих матеріалів</t>
  </si>
  <si>
    <t>Бухгалтер з обліку продуктів харчування</t>
  </si>
  <si>
    <t>Бухгалтер з розрахунку з працівниками</t>
  </si>
  <si>
    <t>Бухгалтер з обліку медикаментів</t>
  </si>
  <si>
    <t>Туберкульозний кабінет</t>
  </si>
  <si>
    <t xml:space="preserve"> Кабінет функціональної діагностики</t>
  </si>
  <si>
    <t>За сан. авт.</t>
  </si>
  <si>
    <t>оперативне втручанн.</t>
  </si>
  <si>
    <t>Відділення відновлюючого лікування</t>
  </si>
  <si>
    <t>Клініко-діагностична лабораторія</t>
  </si>
  <si>
    <t>Лікар-офтальмолог б/к</t>
  </si>
  <si>
    <t xml:space="preserve">Лікар –інфекціоніст дитячий КІЗ кабінету  б/к  </t>
  </si>
  <si>
    <t>Лікар - інтерн з офтальмології</t>
  </si>
  <si>
    <t>Лікар  - уролог дитячий б/к</t>
  </si>
  <si>
    <t>Сестра медична маніпуляційна б/кат</t>
  </si>
  <si>
    <t>Програміст ЕОМ І кат</t>
  </si>
  <si>
    <t>м.Тетіїв</t>
  </si>
  <si>
    <t>Столяр</t>
  </si>
  <si>
    <t xml:space="preserve">Економіст з праці </t>
  </si>
  <si>
    <t>Лікар – ортопед-травматолог дитячий б/к</t>
  </si>
  <si>
    <t>Лікар з ультразвукової діаг ностики (жін.консул.)Ікат.</t>
  </si>
  <si>
    <t>Сестра медична полік лініки (травматологічного кабінету) Вища кат.</t>
  </si>
  <si>
    <t>Сестра мед. поліклініки  (ендокринолог. кабінету)  Вища кат.</t>
  </si>
  <si>
    <t>Сестра медична полікліні ки (інфекційного кабінету) Вища кат.</t>
  </si>
  <si>
    <t>Лікар-фтізіатр б/кат.</t>
  </si>
  <si>
    <t>Старша сестра медична стаціонару Вища кат.</t>
  </si>
  <si>
    <t>Лікар – терапевт Вища кат.</t>
  </si>
  <si>
    <t>Сестра медична з фізіотерапії Вища кат.</t>
  </si>
  <si>
    <t>Лікар хірург (ург.)  І кат.</t>
  </si>
  <si>
    <t>Лікар - лаборант Вища кат.</t>
  </si>
  <si>
    <t>Лаборант клініко-діагност. лабораторії Вища кат.</t>
  </si>
  <si>
    <t>Лікар рентгенолог для флюорографічного обстеження б/кат.</t>
  </si>
  <si>
    <t>Рентгенлаборант Вища кат.</t>
  </si>
  <si>
    <t>Лікар анестезіолог І кат.</t>
  </si>
  <si>
    <t>Старша сестра медична стаціонару Вища  кат.</t>
  </si>
  <si>
    <t>Сестра медична з анестезіології Вища кат.</t>
  </si>
  <si>
    <t>Лаборант клініко-діагности чної лабораторії стаціонару Вища кат.</t>
  </si>
  <si>
    <t>Старша сестра медична операційна Вища кат.</t>
  </si>
  <si>
    <t>Сестра медична операційна Вища кат.</t>
  </si>
  <si>
    <t>Медичний статистик Вища кат.</t>
  </si>
  <si>
    <t>Сестра медична пункту зберігання крові Вища кат.</t>
  </si>
  <si>
    <t>Лікар-онколог б/кат.</t>
  </si>
  <si>
    <t>Лікар-отоларинголог Вища кат.</t>
  </si>
  <si>
    <t>Лікар-ендокринолог Вища кат.</t>
  </si>
  <si>
    <t>Лікар-нарколог дільничний І кат.</t>
  </si>
  <si>
    <t>Лікар- невропатолог Вища кат.</t>
  </si>
  <si>
    <t>Лікар з ультразвукової діагностики І кат.</t>
  </si>
  <si>
    <t>Сестра медична полікліні ки (дитячого фтізіатра) туб кабінету Вища кат.</t>
  </si>
  <si>
    <t>Старша сестра медична Вища кат.</t>
  </si>
  <si>
    <t>Сестра медична Вища кат.</t>
  </si>
  <si>
    <t>Рентгенлаборант ІІ кат.</t>
  </si>
  <si>
    <t>Сестра медична полік лініки (онколога)Вища кат.</t>
  </si>
  <si>
    <t>Сестра медична полік лініки (офтальмоло гічного кабінету)Вища кат.</t>
  </si>
  <si>
    <t>Сестра медична з функціональної діагностики Вища кат.</t>
  </si>
  <si>
    <t>Лікар- інфекціоніст кабінету"Довіра" б/кат.</t>
  </si>
  <si>
    <t>Лікар терапевт (жіночої консультації) Вища кат.</t>
  </si>
  <si>
    <t>Лікар патологоанатом  б/кат</t>
  </si>
  <si>
    <t>Сестра медична з масажу б/к.</t>
  </si>
  <si>
    <t>Інструктор з фізкультури лікувальної б/к.</t>
  </si>
  <si>
    <t>Сестра медична полік лініки (неврологічного кабінету) Вища кат.</t>
  </si>
  <si>
    <t>Завідувач хірургічним відділенням лікар-хірург І кат.</t>
  </si>
  <si>
    <t xml:space="preserve">Оператор ЕОМ І кат. </t>
  </si>
  <si>
    <t>Кухар ІІІ розряду</t>
  </si>
  <si>
    <t>Фахівець з питань цивільного захисту</t>
  </si>
  <si>
    <t>за дезинфікувальні засоби 10%</t>
  </si>
  <si>
    <t>Лікар з лікувальної фізкультури б/кат.</t>
  </si>
  <si>
    <r>
      <t xml:space="preserve"> РОЗДІЛ І. ШТАТИ </t>
    </r>
    <r>
      <rPr>
        <b/>
        <sz val="20"/>
        <rFont val="Times New Roman"/>
        <family val="1"/>
      </rPr>
      <t xml:space="preserve"> ПРАЦІВНИКІВ  АПАРАТУ  УПРАВЛІННЯ</t>
    </r>
  </si>
  <si>
    <r>
      <t xml:space="preserve">підрозділ І.  </t>
    </r>
    <r>
      <rPr>
        <sz val="20"/>
        <rFont val="Times New Roman"/>
        <family val="1"/>
      </rPr>
      <t xml:space="preserve">Штати працівників апарату управління </t>
    </r>
  </si>
  <si>
    <t>Завідув. І  старшинство</t>
  </si>
  <si>
    <t>За полік лініку 15%</t>
  </si>
  <si>
    <r>
      <t>Розділ ІІ.</t>
    </r>
    <r>
      <rPr>
        <b/>
        <sz val="30"/>
        <rFont val="Times New Roman"/>
        <family val="1"/>
      </rPr>
      <t xml:space="preserve"> Господарсько - обслуговуючий персонал</t>
    </r>
  </si>
  <si>
    <r>
      <t xml:space="preserve">Інші  </t>
    </r>
    <r>
      <rPr>
        <sz val="30"/>
        <rFont val="Times New Roman"/>
        <family val="1"/>
      </rPr>
      <t xml:space="preserve">               </t>
    </r>
  </si>
  <si>
    <r>
      <t>Г</t>
    </r>
    <r>
      <rPr>
        <b/>
        <u val="single"/>
        <sz val="30"/>
        <rFont val="Times New Roman"/>
        <family val="1"/>
      </rPr>
      <t>араж</t>
    </r>
  </si>
  <si>
    <r>
      <t xml:space="preserve">           </t>
    </r>
    <r>
      <rPr>
        <b/>
        <sz val="30"/>
        <rFont val="Times New Roman"/>
        <family val="1"/>
      </rPr>
      <t>Лікарі всього:</t>
    </r>
  </si>
  <si>
    <r>
      <t xml:space="preserve">                                                                                                         С</t>
    </r>
    <r>
      <rPr>
        <b/>
        <sz val="30"/>
        <rFont val="Times New Roman"/>
        <family val="1"/>
      </rPr>
      <t>ередній персонал</t>
    </r>
  </si>
  <si>
    <r>
      <t>Всього по поліклініці</t>
    </r>
    <r>
      <rPr>
        <i/>
        <sz val="30"/>
        <rFont val="Times New Roman"/>
        <family val="1"/>
      </rPr>
      <t xml:space="preserve">:           </t>
    </r>
  </si>
  <si>
    <r>
      <t xml:space="preserve">                               лікарі</t>
    </r>
    <r>
      <rPr>
        <sz val="30"/>
        <rFont val="Times New Roman"/>
        <family val="1"/>
      </rPr>
      <t xml:space="preserve">:           </t>
    </r>
  </si>
  <si>
    <t>Бухгалтер з фінансового обліку</t>
  </si>
  <si>
    <t>Лікар-ендоскопіст б/кат.</t>
  </si>
  <si>
    <t>Лікар-епідеміолог Вища кат.</t>
  </si>
  <si>
    <t>Лікар-ортопед-травматолог І кат.</t>
  </si>
  <si>
    <t>Лікар- дерматовенеролог  б/кат.</t>
  </si>
  <si>
    <t>Сестра медична полік лініки (хірургічного кабінету)Вища</t>
  </si>
  <si>
    <t>Лікар анестезіолог Вища</t>
  </si>
  <si>
    <t>Разом :</t>
  </si>
  <si>
    <t>Категорія</t>
  </si>
  <si>
    <t>Лікар- психіатр  ІІ кат.</t>
  </si>
  <si>
    <t>Сестра медична полік лініки (уролога) ІІ кат.</t>
  </si>
  <si>
    <t>з 01.01.</t>
  </si>
  <si>
    <t>Електрогазозварник ІІІ розряд</t>
  </si>
  <si>
    <t>Лікар-кардіолог Вища кат.</t>
  </si>
  <si>
    <t>Сестра медична кабінету "Довіра"Вища кат.</t>
  </si>
  <si>
    <t>Сестра медична операційна б/кат.</t>
  </si>
  <si>
    <t>Лікар-хірург дитячий б/к</t>
  </si>
  <si>
    <t>Сестра медична  поліклініки (кардіолога) б/кат.</t>
  </si>
  <si>
    <t>Сестра медична з фізіотерапії б/ кат.</t>
  </si>
  <si>
    <t>Лікар хірург (ург.)  Вища кат.</t>
  </si>
  <si>
    <t>Рентгенлаборант б/кат.</t>
  </si>
  <si>
    <t>Сестра медична полікліні ки (ендоскопічного к-ту)б/ кат.</t>
  </si>
  <si>
    <t>Сестра медична полік лініки з стоматології І кат.</t>
  </si>
  <si>
    <t xml:space="preserve">Лікар-фтізіатр дитячий </t>
  </si>
  <si>
    <t>Завідувач господарством</t>
  </si>
  <si>
    <t>Підсобний працівник</t>
  </si>
  <si>
    <t>Касир</t>
  </si>
  <si>
    <t>Слюсар-сантехнік</t>
  </si>
  <si>
    <t>Сестра медична з дієтичного харчування   Вища кат.</t>
  </si>
  <si>
    <t>Сестра медична жіночої консультації Вища кат.</t>
  </si>
  <si>
    <t>Лікар уролог</t>
  </si>
  <si>
    <t>Лікар інтерн з хірургії</t>
  </si>
  <si>
    <t>Юристконсульт</t>
  </si>
  <si>
    <t>Фахівець з публічних закупівель</t>
  </si>
  <si>
    <t>Сестра медична кабінету профоглядів</t>
  </si>
  <si>
    <t>Сестра медична полікліні ки (психіатра) Вища кат.</t>
  </si>
  <si>
    <t>Лікар – стоматолог  І кат.</t>
  </si>
  <si>
    <t>Завідуючий жіночою консультацією І кат.</t>
  </si>
  <si>
    <t>Лікар акушер-гінеколог І кат.</t>
  </si>
  <si>
    <t xml:space="preserve">Сестра медична полік лініки (фтізіатра) туб кабю Вища </t>
  </si>
  <si>
    <t xml:space="preserve">Сестра медична з масажу Вища </t>
  </si>
  <si>
    <t xml:space="preserve">Завідувач терапевтичним відділенням лікар-терапевт Вища </t>
  </si>
  <si>
    <t xml:space="preserve">Завідувач клініко-діагностичною лабораторією Вища </t>
  </si>
  <si>
    <t>Лікар з функціональної діагностики Вища кат.</t>
  </si>
  <si>
    <t>Завідувач рентгенологічним відділенням І кат.</t>
  </si>
  <si>
    <t>Водій І клас(Тойота ХАЙ-ЕЙС)</t>
  </si>
  <si>
    <t>Водій І клас (Форд-С)</t>
  </si>
  <si>
    <t>Водій І клас (ГАЗ-2705)</t>
  </si>
  <si>
    <t>Водій І клас (ГАЗ-32214)</t>
  </si>
  <si>
    <t>Водій І клас (ВАЗ-2121 Нива)</t>
  </si>
  <si>
    <t>Водій І клас (Дачія -Solensa)</t>
  </si>
  <si>
    <t>Водій І клас( (САЗ-3502)</t>
  </si>
  <si>
    <t>неповною вищою мед. Освітою:</t>
  </si>
  <si>
    <t xml:space="preserve">Лікарі :             </t>
  </si>
  <si>
    <t xml:space="preserve">Інші :                </t>
  </si>
  <si>
    <t>Сестра медична стерилізації І кат.</t>
  </si>
  <si>
    <t xml:space="preserve">   </t>
  </si>
  <si>
    <t xml:space="preserve">Сестра медична  стаціонару (палатна) Вища </t>
  </si>
  <si>
    <t>Головна медична сестра Вища</t>
  </si>
  <si>
    <t>Лікар- хірург І кат.</t>
  </si>
  <si>
    <t>Старша сестра медична поліклініки І кат.</t>
  </si>
  <si>
    <t>Сестра медична полік лініки (процедурна) І кат.</t>
  </si>
  <si>
    <t>Сестра медична полік лініки  (нарколога)І кат.</t>
  </si>
  <si>
    <t>Сестра медична поліклі ніки (дерматовенеролога)Вища</t>
  </si>
  <si>
    <t>Акушерка жіночої консультації Вища кат.</t>
  </si>
  <si>
    <t>Сестра медична полікліні ки (отоларингологічного кабінету)б/кат.</t>
  </si>
  <si>
    <t>Сестра медична реєстратор І кат.</t>
  </si>
  <si>
    <t>Середні</t>
  </si>
  <si>
    <t>Молодша медсестра фізіотерапевтичного каінету</t>
  </si>
  <si>
    <t>Сестра медична І кат.</t>
  </si>
  <si>
    <t>Тетіївська ЦЛ</t>
  </si>
  <si>
    <t>Старша сестра мед стаціонару б/кат.</t>
  </si>
  <si>
    <t>Сестра медична(процедурна) б/кат.</t>
  </si>
  <si>
    <t>Лікар профпатолог б/кат.</t>
  </si>
  <si>
    <t>Лікар терапевт Вища</t>
  </si>
  <si>
    <t xml:space="preserve">Інспектор по військовому обліку </t>
  </si>
  <si>
    <t>Лікар рентгенолог І кат.</t>
  </si>
  <si>
    <t>Лікар-ортопед- травматолог б/кат.</t>
  </si>
  <si>
    <t>Лікар хірург (ург.)  б/кат.</t>
  </si>
  <si>
    <t>Лікар фізіотерапевт б/кат.</t>
  </si>
  <si>
    <t>Лаборант клініко-діагност. лабораторії Ікат.</t>
  </si>
  <si>
    <r>
      <t xml:space="preserve">                                                                         </t>
    </r>
    <r>
      <rPr>
        <b/>
        <u val="single"/>
        <sz val="38"/>
        <rFont val="Times New Roman"/>
        <family val="1"/>
      </rPr>
      <t xml:space="preserve">        Відділення патанатомії</t>
    </r>
  </si>
  <si>
    <t>Медичний директор Вища кат.</t>
  </si>
  <si>
    <t>Сестра медична поліклініки (лікаря - профпатолога) Вища</t>
  </si>
  <si>
    <t>Сестра медична поліклініки (лікаря - терапевта) Вища</t>
  </si>
  <si>
    <t>Фасувальник медичних виробів</t>
  </si>
  <si>
    <t xml:space="preserve">Відділення екстренної медичної допомоги </t>
  </si>
  <si>
    <t>Старша сестра медична відділення екстренної медичної допомоги Вища кат.</t>
  </si>
  <si>
    <t>Сестра медична (денна) відділення екстренної медичної допомоги Вища кат.</t>
  </si>
  <si>
    <t>Сестра медична відділення екстренної медичної допомоги Вища кат.</t>
  </si>
  <si>
    <t>Сестра господиня відділення екстренної медичної допомоги</t>
  </si>
  <si>
    <t>Молодша медсестра (санітарка) відділення екстренної медичної допомоги</t>
  </si>
  <si>
    <t xml:space="preserve">Завідувач екстренної медичної допомоги, лікар з медицини невідкладних станів </t>
  </si>
  <si>
    <t xml:space="preserve">Лікар з медицини невідкладних станів </t>
  </si>
  <si>
    <t>Лікар– інфекціоніст  КІЗ кабінету . ІІ кат.</t>
  </si>
  <si>
    <t xml:space="preserve">Директор  </t>
  </si>
  <si>
    <t>Всього:</t>
  </si>
  <si>
    <t>Відділення патанатомії</t>
  </si>
  <si>
    <t>ВСЬОГО: ПО КНП "Тетіївська ЦЛ "</t>
  </si>
  <si>
    <t>Агент постачання кисню</t>
  </si>
  <si>
    <t xml:space="preserve">Агент постачання </t>
  </si>
  <si>
    <t>Сестра медична(перев'язочна) б/кат.</t>
  </si>
  <si>
    <t xml:space="preserve">Сестра медична  лікарського кабінету Вища </t>
  </si>
  <si>
    <t>Молодша медична сестра (перев'язочна)</t>
  </si>
  <si>
    <t>За санітар ний автомобіль</t>
  </si>
  <si>
    <t>Шкідливі- сть</t>
  </si>
  <si>
    <t>Заступник директора з поліклінічної роботи</t>
  </si>
  <si>
    <t xml:space="preserve">Лікар приймального </t>
  </si>
  <si>
    <t>Старша сестра медична  Вища кат.</t>
  </si>
  <si>
    <t>Документознавець</t>
  </si>
  <si>
    <t>Заступник директора з адміністративно управління</t>
  </si>
  <si>
    <t>Лікар нейрохірург</t>
  </si>
  <si>
    <t>Лікар акушер-гінеколог(ургентний)</t>
  </si>
  <si>
    <t>Лікар-хірург</t>
  </si>
  <si>
    <t>Лікар інтерн неврологія</t>
  </si>
  <si>
    <t>Лікар інтерн анестезіологія</t>
  </si>
  <si>
    <t>фармацевт І кат.</t>
  </si>
  <si>
    <t>Лікар - невропатолог</t>
  </si>
  <si>
    <t>Лікар - інфекціоніст</t>
  </si>
  <si>
    <t>Лікар - педіатр</t>
  </si>
  <si>
    <t>Сестра медична (ургентна)</t>
  </si>
  <si>
    <t>Сестра медична процедурна Вища кат.</t>
  </si>
  <si>
    <t>Лікар інтерн радіологія</t>
  </si>
  <si>
    <t>Лікар невролог</t>
  </si>
  <si>
    <t>Лікар акушер-гінеколог</t>
  </si>
  <si>
    <t>Хірургічне відділення на 26 ліжок</t>
  </si>
  <si>
    <t xml:space="preserve">                                                                              Терапевтичне відділення на 88 ліжок</t>
  </si>
  <si>
    <t>Комунального некомерційного підприємства "Тетіївська центральна лікарня" Тетіївської міської ради                                                                       з    01.01.2023  року</t>
  </si>
  <si>
    <t>2023 рік</t>
  </si>
  <si>
    <t>до рішення 18 сесії міської ради VIII скдикання</t>
  </si>
  <si>
    <t>Додаток 2</t>
  </si>
  <si>
    <t>23.03.2023 №  832 -18-VIII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</si>
</sst>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_-* #,##0.000_-;\-* #,##0.000_-;_-* &quot;-&quot;??_-;_-@_-"/>
    <numFmt numFmtId="210" formatCode="_-* #,##0.0000_-;\-* #,##0.0000_-;_-* &quot;-&quot;??_-;_-@_-"/>
    <numFmt numFmtId="211" formatCode="_-* #,##0.00000_-;\-* #,##0.00000_-;_-* &quot;-&quot;??_-;_-@_-"/>
    <numFmt numFmtId="212" formatCode="_-* #,##0.0_-;\-* #,##0.0_-;_-* &quot;-&quot;??_-;_-@_-"/>
    <numFmt numFmtId="213" formatCode="0.00000"/>
    <numFmt numFmtId="214" formatCode="0.0000"/>
    <numFmt numFmtId="215" formatCode="_-* #,##0_-;\-* #,##0_-;_-* &quot;-&quot;??_-;_-@_-"/>
    <numFmt numFmtId="216" formatCode="[$€-2]\ ###,000_);[Red]\([$€-2]\ ###,000\)"/>
    <numFmt numFmtId="217" formatCode="_-* #,##0.0\ _г_р_н_._-;\-* #,##0.0\ _г_р_н_._-;_-* &quot;-&quot;??\ _г_р_н_._-;_-@_-"/>
    <numFmt numFmtId="218" formatCode="_-* #,##0\ _г_р_н_._-;\-* #,##0\ _г_р_н_._-;_-* &quot;-&quot;??\ _г_р_н_._-;_-@_-"/>
    <numFmt numFmtId="219" formatCode="_-* #,##0.000\ _г_р_н_._-;\-* #,##0.000\ _г_р_н_._-;_-* &quot;-&quot;??\ _г_р_н_._-;_-@_-"/>
    <numFmt numFmtId="220" formatCode="0.000000"/>
    <numFmt numFmtId="221" formatCode="_-* #,##0.0_р_._-;\-* #,##0.0_р_._-;_-* &quot;-&quot;?_р_._-;_-@_-"/>
    <numFmt numFmtId="222" formatCode="#,##0.00\ _г_р_н_."/>
    <numFmt numFmtId="223" formatCode="#,##0.00_ ;\-#,##0.00\ "/>
    <numFmt numFmtId="224" formatCode="#,##0.0"/>
    <numFmt numFmtId="225" formatCode="#,##0.0&quot;₴&quot;"/>
  </numFmts>
  <fonts count="92">
    <font>
      <sz val="10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17"/>
      <name val="Times New Roman"/>
      <family val="1"/>
    </font>
    <font>
      <b/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b/>
      <u val="single"/>
      <sz val="20"/>
      <name val="Times New Roman"/>
      <family val="1"/>
    </font>
    <font>
      <b/>
      <i/>
      <u val="single"/>
      <sz val="20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sz val="30"/>
      <name val="Arial Cyr"/>
      <family val="0"/>
    </font>
    <font>
      <sz val="25"/>
      <name val="Times New Roman"/>
      <family val="1"/>
    </font>
    <font>
      <b/>
      <sz val="25"/>
      <name val="Times New Roman"/>
      <family val="1"/>
    </font>
    <font>
      <b/>
      <u val="single"/>
      <sz val="30"/>
      <name val="Times New Roman"/>
      <family val="1"/>
    </font>
    <font>
      <b/>
      <i/>
      <sz val="30"/>
      <name val="Times New Roman"/>
      <family val="1"/>
    </font>
    <font>
      <i/>
      <sz val="30"/>
      <name val="Times New Roman"/>
      <family val="1"/>
    </font>
    <font>
      <sz val="30"/>
      <color indexed="10"/>
      <name val="Arial Cyr"/>
      <family val="0"/>
    </font>
    <font>
      <b/>
      <sz val="30"/>
      <name val="Arial Cyr"/>
      <family val="0"/>
    </font>
    <font>
      <b/>
      <i/>
      <sz val="30"/>
      <name val="Arial Cyr"/>
      <family val="0"/>
    </font>
    <font>
      <i/>
      <sz val="30"/>
      <name val="Arial Cyr"/>
      <family val="0"/>
    </font>
    <font>
      <sz val="30"/>
      <color indexed="8"/>
      <name val="Times New Roman"/>
      <family val="1"/>
    </font>
    <font>
      <b/>
      <sz val="30"/>
      <color indexed="8"/>
      <name val="Times New Roman"/>
      <family val="1"/>
    </font>
    <font>
      <b/>
      <sz val="38"/>
      <name val="Times New Roman"/>
      <family val="1"/>
    </font>
    <font>
      <sz val="45"/>
      <name val="Arial Cyr"/>
      <family val="0"/>
    </font>
    <font>
      <sz val="38"/>
      <name val="Arial Cyr"/>
      <family val="0"/>
    </font>
    <font>
      <b/>
      <i/>
      <sz val="28"/>
      <name val="Arial Cyr"/>
      <family val="0"/>
    </font>
    <font>
      <sz val="2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sz val="14"/>
      <name val="Tahoma"/>
      <family val="2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u val="single"/>
      <sz val="30"/>
      <name val="Arial Cyr"/>
      <family val="0"/>
    </font>
    <font>
      <b/>
      <u val="single"/>
      <sz val="38"/>
      <name val="Times New Roman"/>
      <family val="1"/>
    </font>
    <font>
      <sz val="22"/>
      <name val="Times New Roman"/>
      <family val="1"/>
    </font>
    <font>
      <b/>
      <i/>
      <sz val="28"/>
      <name val="Times New Roman"/>
      <family val="1"/>
    </font>
    <font>
      <i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528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4" fillId="32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4" fontId="25" fillId="32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32" borderId="10" xfId="0" applyFont="1" applyFill="1" applyBorder="1" applyAlignment="1">
      <alignment vertical="center" wrapText="1"/>
    </xf>
    <xf numFmtId="0" fontId="25" fillId="32" borderId="10" xfId="0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5" fillId="0" borderId="17" xfId="0" applyFont="1" applyBorder="1" applyAlignment="1">
      <alignment vertical="center"/>
    </xf>
    <xf numFmtId="207" fontId="24" fillId="32" borderId="17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4" fontId="24" fillId="32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right" vertical="center" wrapText="1"/>
    </xf>
    <xf numFmtId="0" fontId="25" fillId="0" borderId="15" xfId="0" applyFont="1" applyBorder="1" applyAlignment="1">
      <alignment vertical="center" wrapText="1"/>
    </xf>
    <xf numFmtId="4" fontId="25" fillId="32" borderId="15" xfId="0" applyNumberFormat="1" applyFont="1" applyFill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right" vertical="center" wrapText="1"/>
    </xf>
    <xf numFmtId="4" fontId="25" fillId="0" borderId="10" xfId="0" applyNumberFormat="1" applyFont="1" applyBorder="1" applyAlignment="1">
      <alignment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4" fontId="25" fillId="0" borderId="16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 wrapText="1"/>
    </xf>
    <xf numFmtId="4" fontId="25" fillId="0" borderId="20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4" fontId="25" fillId="0" borderId="15" xfId="0" applyNumberFormat="1" applyFont="1" applyBorder="1" applyAlignment="1">
      <alignment vertical="center" wrapText="1"/>
    </xf>
    <xf numFmtId="4" fontId="25" fillId="0" borderId="21" xfId="0" applyNumberFormat="1" applyFont="1" applyBorder="1" applyAlignment="1">
      <alignment vertical="center" wrapText="1"/>
    </xf>
    <xf numFmtId="4" fontId="25" fillId="0" borderId="15" xfId="0" applyNumberFormat="1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vertical="center" wrapText="1"/>
    </xf>
    <xf numFmtId="4" fontId="25" fillId="0" borderId="15" xfId="0" applyNumberFormat="1" applyFont="1" applyBorder="1" applyAlignment="1">
      <alignment horizontal="right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2" fontId="24" fillId="0" borderId="15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4" fillId="0" borderId="16" xfId="0" applyFont="1" applyBorder="1" applyAlignment="1">
      <alignment horizontal="center" vertical="center" wrapText="1"/>
    </xf>
    <xf numFmtId="0" fontId="25" fillId="0" borderId="15" xfId="0" applyFont="1" applyBorder="1" applyAlignment="1">
      <alignment vertical="center" wrapText="1"/>
    </xf>
    <xf numFmtId="4" fontId="25" fillId="0" borderId="10" xfId="0" applyNumberFormat="1" applyFont="1" applyBorder="1" applyAlignment="1">
      <alignment horizontal="center" vertical="center"/>
    </xf>
    <xf numFmtId="2" fontId="25" fillId="0" borderId="15" xfId="0" applyNumberFormat="1" applyFont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25" fillId="0" borderId="18" xfId="0" applyFont="1" applyBorder="1" applyAlignment="1">
      <alignment vertical="center" wrapText="1"/>
    </xf>
    <xf numFmtId="4" fontId="25" fillId="32" borderId="18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 vertical="center"/>
    </xf>
    <xf numFmtId="4" fontId="25" fillId="0" borderId="15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4" fillId="0" borderId="0" xfId="0" applyNumberFormat="1" applyFont="1" applyBorder="1" applyAlignment="1">
      <alignment vertical="center"/>
    </xf>
    <xf numFmtId="0" fontId="24" fillId="0" borderId="16" xfId="0" applyFont="1" applyBorder="1" applyAlignment="1">
      <alignment horizontal="right" vertical="center" wrapText="1"/>
    </xf>
    <xf numFmtId="2" fontId="25" fillId="0" borderId="15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justify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0" xfId="0" applyFont="1" applyAlignment="1">
      <alignment horizontal="justify" vertical="center"/>
    </xf>
    <xf numFmtId="0" fontId="25" fillId="32" borderId="18" xfId="0" applyFont="1" applyFill="1" applyBorder="1" applyAlignment="1">
      <alignment horizontal="center" vertical="center" wrapText="1"/>
    </xf>
    <xf numFmtId="2" fontId="24" fillId="32" borderId="18" xfId="0" applyNumberFormat="1" applyFont="1" applyFill="1" applyBorder="1" applyAlignment="1">
      <alignment horizontal="center" vertical="center" wrapText="1"/>
    </xf>
    <xf numFmtId="207" fontId="24" fillId="32" borderId="18" xfId="0" applyNumberFormat="1" applyFont="1" applyFill="1" applyBorder="1" applyAlignment="1">
      <alignment horizontal="center" vertical="center" wrapText="1"/>
    </xf>
    <xf numFmtId="2" fontId="25" fillId="32" borderId="18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vertical="center"/>
    </xf>
    <xf numFmtId="4" fontId="25" fillId="0" borderId="15" xfId="0" applyNumberFormat="1" applyFont="1" applyFill="1" applyBorder="1" applyAlignment="1">
      <alignment vertical="center" wrapText="1"/>
    </xf>
    <xf numFmtId="2" fontId="25" fillId="0" borderId="15" xfId="0" applyNumberFormat="1" applyFont="1" applyBorder="1" applyAlignment="1">
      <alignment vertical="center" wrapText="1"/>
    </xf>
    <xf numFmtId="4" fontId="25" fillId="0" borderId="15" xfId="0" applyNumberFormat="1" applyFont="1" applyFill="1" applyBorder="1" applyAlignment="1">
      <alignment vertical="center" wrapText="1"/>
    </xf>
    <xf numFmtId="2" fontId="25" fillId="0" borderId="15" xfId="0" applyNumberFormat="1" applyFont="1" applyBorder="1" applyAlignment="1">
      <alignment vertical="center" wrapText="1"/>
    </xf>
    <xf numFmtId="4" fontId="25" fillId="0" borderId="20" xfId="0" applyNumberFormat="1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4" fillId="0" borderId="10" xfId="0" applyFont="1" applyBorder="1" applyAlignment="1">
      <alignment horizontal="right" vertical="center" wrapText="1"/>
    </xf>
    <xf numFmtId="4" fontId="25" fillId="0" borderId="10" xfId="0" applyNumberFormat="1" applyFont="1" applyFill="1" applyBorder="1" applyAlignment="1">
      <alignment vertical="center" wrapText="1"/>
    </xf>
    <xf numFmtId="2" fontId="25" fillId="0" borderId="10" xfId="0" applyNumberFormat="1" applyFont="1" applyBorder="1" applyAlignment="1">
      <alignment vertical="center" wrapText="1"/>
    </xf>
    <xf numFmtId="4" fontId="25" fillId="0" borderId="22" xfId="0" applyNumberFormat="1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right" vertical="center" wrapText="1"/>
    </xf>
    <xf numFmtId="4" fontId="25" fillId="32" borderId="15" xfId="0" applyNumberFormat="1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0" fontId="25" fillId="0" borderId="21" xfId="0" applyFont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2" fontId="25" fillId="0" borderId="15" xfId="0" applyNumberFormat="1" applyFont="1" applyBorder="1" applyAlignment="1">
      <alignment horizontal="right" vertical="center" wrapText="1"/>
    </xf>
    <xf numFmtId="0" fontId="25" fillId="0" borderId="16" xfId="0" applyFont="1" applyBorder="1" applyAlignment="1">
      <alignment vertical="center" wrapText="1"/>
    </xf>
    <xf numFmtId="2" fontId="24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24" fillId="0" borderId="16" xfId="0" applyFont="1" applyBorder="1" applyAlignment="1">
      <alignment vertical="center" wrapText="1"/>
    </xf>
    <xf numFmtId="4" fontId="25" fillId="0" borderId="19" xfId="0" applyNumberFormat="1" applyFont="1" applyBorder="1" applyAlignment="1">
      <alignment horizontal="center" vertical="center" wrapText="1"/>
    </xf>
    <xf numFmtId="2" fontId="25" fillId="0" borderId="19" xfId="0" applyNumberFormat="1" applyFont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right" vertical="center" wrapText="1"/>
    </xf>
    <xf numFmtId="4" fontId="25" fillId="0" borderId="15" xfId="6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2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4" fillId="0" borderId="21" xfId="0" applyFont="1" applyBorder="1" applyAlignment="1">
      <alignment vertical="center" wrapText="1"/>
    </xf>
    <xf numFmtId="2" fontId="25" fillId="0" borderId="21" xfId="0" applyNumberFormat="1" applyFont="1" applyBorder="1" applyAlignment="1">
      <alignment horizontal="center" vertical="center" wrapText="1"/>
    </xf>
    <xf numFmtId="2" fontId="25" fillId="0" borderId="21" xfId="0" applyNumberFormat="1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2" fontId="25" fillId="0" borderId="0" xfId="0" applyNumberFormat="1" applyFont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vertical="center" wrapText="1"/>
    </xf>
    <xf numFmtId="2" fontId="25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4" fontId="24" fillId="0" borderId="15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2" fontId="30" fillId="0" borderId="0" xfId="0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4" fontId="34" fillId="0" borderId="0" xfId="0" applyNumberFormat="1" applyFont="1" applyFill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2" fontId="24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Alignment="1">
      <alignment vertical="center"/>
    </xf>
    <xf numFmtId="4" fontId="25" fillId="0" borderId="0" xfId="0" applyNumberFormat="1" applyFont="1" applyAlignment="1">
      <alignment vertical="center"/>
    </xf>
    <xf numFmtId="207" fontId="24" fillId="0" borderId="0" xfId="0" applyNumberFormat="1" applyFont="1" applyFill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2" fontId="25" fillId="32" borderId="15" xfId="0" applyNumberFormat="1" applyFont="1" applyFill="1" applyBorder="1" applyAlignment="1">
      <alignment horizontal="center" vertical="center" wrapText="1"/>
    </xf>
    <xf numFmtId="0" fontId="25" fillId="32" borderId="15" xfId="0" applyFont="1" applyFill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4" fontId="25" fillId="0" borderId="23" xfId="0" applyNumberFormat="1" applyFont="1" applyBorder="1" applyAlignment="1">
      <alignment horizontal="center" vertical="center" wrapText="1"/>
    </xf>
    <xf numFmtId="4" fontId="24" fillId="0" borderId="23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/>
    </xf>
    <xf numFmtId="0" fontId="24" fillId="0" borderId="18" xfId="0" applyFont="1" applyFill="1" applyBorder="1" applyAlignment="1">
      <alignment horizontal="center" vertical="center" wrapText="1"/>
    </xf>
    <xf numFmtId="4" fontId="25" fillId="0" borderId="15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4" fontId="25" fillId="0" borderId="15" xfId="60" applyNumberFormat="1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center" vertical="center"/>
    </xf>
    <xf numFmtId="4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2" fontId="25" fillId="0" borderId="23" xfId="0" applyNumberFormat="1" applyFont="1" applyFill="1" applyBorder="1" applyAlignment="1">
      <alignment horizontal="center" vertical="center" wrapText="1"/>
    </xf>
    <xf numFmtId="4" fontId="24" fillId="0" borderId="23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4" fontId="25" fillId="0" borderId="23" xfId="0" applyNumberFormat="1" applyFont="1" applyBorder="1" applyAlignment="1">
      <alignment horizontal="center" vertical="center" wrapText="1"/>
    </xf>
    <xf numFmtId="203" fontId="24" fillId="0" borderId="23" xfId="0" applyNumberFormat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203" fontId="25" fillId="0" borderId="0" xfId="60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203" fontId="24" fillId="0" borderId="0" xfId="60" applyFont="1" applyBorder="1" applyAlignment="1">
      <alignment horizontal="center" vertical="center" wrapText="1"/>
    </xf>
    <xf numFmtId="207" fontId="24" fillId="0" borderId="0" xfId="0" applyNumberFormat="1" applyFont="1" applyAlignment="1">
      <alignment vertical="center"/>
    </xf>
    <xf numFmtId="2" fontId="26" fillId="0" borderId="0" xfId="0" applyNumberFormat="1" applyFont="1" applyAlignment="1">
      <alignment vertical="center"/>
    </xf>
    <xf numFmtId="2" fontId="24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222" fontId="25" fillId="32" borderId="15" xfId="0" applyNumberFormat="1" applyFont="1" applyFill="1" applyBorder="1" applyAlignment="1">
      <alignment horizontal="center" vertical="center" wrapText="1"/>
    </xf>
    <xf numFmtId="222" fontId="25" fillId="0" borderId="23" xfId="0" applyNumberFormat="1" applyFont="1" applyBorder="1" applyAlignment="1">
      <alignment horizontal="center" vertical="center" wrapText="1"/>
    </xf>
    <xf numFmtId="222" fontId="25" fillId="0" borderId="0" xfId="0" applyNumberFormat="1" applyFont="1" applyBorder="1" applyAlignment="1">
      <alignment horizontal="center" vertical="center" wrapText="1"/>
    </xf>
    <xf numFmtId="222" fontId="25" fillId="0" borderId="0" xfId="0" applyNumberFormat="1" applyFont="1" applyFill="1" applyBorder="1" applyAlignment="1">
      <alignment horizontal="center" vertical="center" wrapText="1"/>
    </xf>
    <xf numFmtId="222" fontId="25" fillId="0" borderId="0" xfId="60" applyNumberFormat="1" applyFont="1" applyBorder="1" applyAlignment="1">
      <alignment horizontal="center" vertical="center" wrapText="1"/>
    </xf>
    <xf numFmtId="222" fontId="24" fillId="0" borderId="0" xfId="60" applyNumberFormat="1" applyFont="1" applyBorder="1" applyAlignment="1">
      <alignment horizontal="center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4" fontId="24" fillId="0" borderId="23" xfId="0" applyNumberFormat="1" applyFont="1" applyBorder="1" applyAlignment="1">
      <alignment horizontal="center" vertical="center" wrapText="1"/>
    </xf>
    <xf numFmtId="2" fontId="25" fillId="0" borderId="0" xfId="60" applyNumberFormat="1" applyFont="1" applyBorder="1" applyAlignment="1">
      <alignment horizontal="center" vertical="center" wrapText="1"/>
    </xf>
    <xf numFmtId="4" fontId="24" fillId="0" borderId="0" xfId="60" applyNumberFormat="1" applyFont="1" applyBorder="1" applyAlignment="1">
      <alignment horizontal="center" vertical="center" wrapText="1"/>
    </xf>
    <xf numFmtId="203" fontId="24" fillId="0" borderId="23" xfId="0" applyNumberFormat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203" fontId="25" fillId="0" borderId="0" xfId="6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6" xfId="0" applyFont="1" applyBorder="1" applyAlignment="1">
      <alignment horizontal="left" vertical="center" wrapText="1"/>
    </xf>
    <xf numFmtId="4" fontId="25" fillId="0" borderId="21" xfId="0" applyNumberFormat="1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center" vertical="center" wrapText="1"/>
    </xf>
    <xf numFmtId="2" fontId="25" fillId="0" borderId="0" xfId="0" applyNumberFormat="1" applyFont="1" applyAlignment="1">
      <alignment vertical="center"/>
    </xf>
    <xf numFmtId="4" fontId="37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4" fontId="25" fillId="0" borderId="19" xfId="0" applyNumberFormat="1" applyFont="1" applyBorder="1" applyAlignment="1">
      <alignment horizontal="center" vertical="center" wrapText="1"/>
    </xf>
    <xf numFmtId="2" fontId="25" fillId="0" borderId="19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03" fontId="24" fillId="0" borderId="0" xfId="60" applyFont="1" applyBorder="1" applyAlignment="1">
      <alignment horizontal="right" vertical="center" wrapText="1"/>
    </xf>
    <xf numFmtId="224" fontId="24" fillId="0" borderId="0" xfId="0" applyNumberFormat="1" applyFont="1" applyBorder="1" applyAlignment="1">
      <alignment horizontal="right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4" fontId="24" fillId="0" borderId="15" xfId="6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4" fontId="24" fillId="0" borderId="0" xfId="0" applyNumberFormat="1" applyFont="1" applyFill="1" applyAlignment="1">
      <alignment vertical="center"/>
    </xf>
    <xf numFmtId="4" fontId="37" fillId="0" borderId="0" xfId="0" applyNumberFormat="1" applyFont="1" applyAlignment="1">
      <alignment vertical="center"/>
    </xf>
    <xf numFmtId="4" fontId="37" fillId="0" borderId="0" xfId="0" applyNumberFormat="1" applyFont="1" applyFill="1" applyAlignment="1">
      <alignment vertical="center"/>
    </xf>
    <xf numFmtId="0" fontId="33" fillId="0" borderId="10" xfId="0" applyFont="1" applyBorder="1" applyAlignment="1">
      <alignment vertical="center"/>
    </xf>
    <xf numFmtId="0" fontId="27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10" fontId="27" fillId="0" borderId="15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224" fontId="0" fillId="0" borderId="0" xfId="0" applyNumberFormat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" fontId="15" fillId="0" borderId="24" xfId="0" applyNumberFormat="1" applyFont="1" applyBorder="1" applyAlignment="1">
      <alignment horizontal="center" vertical="center" wrapText="1"/>
    </xf>
    <xf numFmtId="3" fontId="15" fillId="0" borderId="24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vertical="center" wrapText="1"/>
    </xf>
    <xf numFmtId="224" fontId="15" fillId="0" borderId="24" xfId="0" applyNumberFormat="1" applyFont="1" applyBorder="1" applyAlignment="1">
      <alignment horizontal="center" vertical="center" wrapText="1"/>
    </xf>
    <xf numFmtId="207" fontId="15" fillId="0" borderId="24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16" fillId="0" borderId="24" xfId="0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224" fontId="7" fillId="0" borderId="24" xfId="0" applyNumberFormat="1" applyFont="1" applyBorder="1" applyAlignment="1">
      <alignment horizontal="center" vertical="center" wrapText="1"/>
    </xf>
    <xf numFmtId="207" fontId="7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207" fontId="7" fillId="0" borderId="26" xfId="6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vertical="center"/>
    </xf>
    <xf numFmtId="2" fontId="25" fillId="33" borderId="15" xfId="0" applyNumberFormat="1" applyFont="1" applyFill="1" applyBorder="1" applyAlignment="1">
      <alignment horizontal="center" vertical="center" wrapText="1"/>
    </xf>
    <xf numFmtId="2" fontId="24" fillId="33" borderId="15" xfId="0" applyNumberFormat="1" applyFont="1" applyFill="1" applyBorder="1" applyAlignment="1">
      <alignment horizontal="center" vertical="center" wrapText="1"/>
    </xf>
    <xf numFmtId="207" fontId="24" fillId="33" borderId="0" xfId="0" applyNumberFormat="1" applyFont="1" applyFill="1" applyBorder="1" applyAlignment="1">
      <alignment horizontal="center" vertical="center" wrapText="1"/>
    </xf>
    <xf numFmtId="2" fontId="24" fillId="33" borderId="23" xfId="0" applyNumberFormat="1" applyFont="1" applyFill="1" applyBorder="1" applyAlignment="1">
      <alignment horizontal="center" vertical="center" wrapText="1"/>
    </xf>
    <xf numFmtId="2" fontId="24" fillId="33" borderId="10" xfId="0" applyNumberFormat="1" applyFont="1" applyFill="1" applyBorder="1" applyAlignment="1">
      <alignment horizontal="center" vertical="center" wrapText="1"/>
    </xf>
    <xf numFmtId="2" fontId="24" fillId="33" borderId="0" xfId="0" applyNumberFormat="1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2" fontId="25" fillId="33" borderId="15" xfId="0" applyNumberFormat="1" applyFont="1" applyFill="1" applyBorder="1" applyAlignment="1">
      <alignment horizontal="center" vertical="center" wrapText="1"/>
    </xf>
    <xf numFmtId="2" fontId="24" fillId="33" borderId="15" xfId="0" applyNumberFormat="1" applyFont="1" applyFill="1" applyBorder="1" applyAlignment="1">
      <alignment horizontal="center" vertical="center" wrapText="1"/>
    </xf>
    <xf numFmtId="2" fontId="24" fillId="33" borderId="0" xfId="0" applyNumberFormat="1" applyFont="1" applyFill="1" applyBorder="1" applyAlignment="1">
      <alignment horizontal="center" vertical="center" wrapText="1"/>
    </xf>
    <xf numFmtId="2" fontId="24" fillId="33" borderId="10" xfId="0" applyNumberFormat="1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2" fontId="24" fillId="33" borderId="23" xfId="0" applyNumberFormat="1" applyFont="1" applyFill="1" applyBorder="1" applyAlignment="1">
      <alignment horizontal="center" vertical="center" wrapText="1"/>
    </xf>
    <xf numFmtId="2" fontId="25" fillId="33" borderId="18" xfId="0" applyNumberFormat="1" applyFont="1" applyFill="1" applyBorder="1" applyAlignment="1">
      <alignment horizontal="center" vertical="center" wrapText="1"/>
    </xf>
    <xf numFmtId="2" fontId="24" fillId="33" borderId="0" xfId="0" applyNumberFormat="1" applyFont="1" applyFill="1" applyAlignment="1">
      <alignment horizontal="center" vertical="center"/>
    </xf>
    <xf numFmtId="222" fontId="48" fillId="0" borderId="23" xfId="0" applyNumberFormat="1" applyFont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" fontId="25" fillId="33" borderId="18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4" fontId="24" fillId="0" borderId="16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4" fontId="7" fillId="0" borderId="27" xfId="0" applyNumberFormat="1" applyFont="1" applyBorder="1" applyAlignment="1">
      <alignment horizontal="center" vertical="center" wrapText="1"/>
    </xf>
    <xf numFmtId="4" fontId="90" fillId="0" borderId="10" xfId="0" applyNumberFormat="1" applyFont="1" applyBorder="1" applyAlignment="1">
      <alignment horizontal="right" vertical="center" wrapText="1"/>
    </xf>
    <xf numFmtId="4" fontId="24" fillId="33" borderId="15" xfId="0" applyNumberFormat="1" applyFont="1" applyFill="1" applyBorder="1" applyAlignment="1">
      <alignment horizontal="center" vertical="center" wrapText="1"/>
    </xf>
    <xf numFmtId="4" fontId="24" fillId="33" borderId="0" xfId="0" applyNumberFormat="1" applyFont="1" applyFill="1" applyAlignment="1">
      <alignment vertical="center"/>
    </xf>
    <xf numFmtId="0" fontId="49" fillId="0" borderId="15" xfId="0" applyFont="1" applyBorder="1" applyAlignment="1">
      <alignment vertical="center" wrapText="1"/>
    </xf>
    <xf numFmtId="0" fontId="49" fillId="32" borderId="15" xfId="0" applyFont="1" applyFill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49" fillId="0" borderId="15" xfId="0" applyFont="1" applyBorder="1" applyAlignment="1">
      <alignment horizontal="left" vertical="center" wrapText="1"/>
    </xf>
    <xf numFmtId="4" fontId="24" fillId="33" borderId="0" xfId="0" applyNumberFormat="1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vertical="center"/>
    </xf>
    <xf numFmtId="4" fontId="25" fillId="0" borderId="11" xfId="0" applyNumberFormat="1" applyFont="1" applyBorder="1" applyAlignment="1">
      <alignment horizontal="center" vertical="center" wrapText="1"/>
    </xf>
    <xf numFmtId="2" fontId="25" fillId="33" borderId="18" xfId="0" applyNumberFormat="1" applyFont="1" applyFill="1" applyBorder="1" applyAlignment="1">
      <alignment horizontal="center" vertical="center" wrapText="1"/>
    </xf>
    <xf numFmtId="2" fontId="37" fillId="33" borderId="0" xfId="0" applyNumberFormat="1" applyFont="1" applyFill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/>
    </xf>
    <xf numFmtId="4" fontId="24" fillId="33" borderId="10" xfId="0" applyNumberFormat="1" applyFont="1" applyFill="1" applyBorder="1" applyAlignment="1">
      <alignment horizontal="center" vertical="center" wrapText="1"/>
    </xf>
    <xf numFmtId="4" fontId="24" fillId="0" borderId="15" xfId="0" applyNumberFormat="1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horizontal="center" vertical="center" wrapText="1"/>
    </xf>
    <xf numFmtId="4" fontId="24" fillId="0" borderId="21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4" fontId="24" fillId="33" borderId="0" xfId="0" applyNumberFormat="1" applyFont="1" applyFill="1" applyBorder="1" applyAlignment="1">
      <alignment horizontal="center" vertical="center" wrapText="1"/>
    </xf>
    <xf numFmtId="4" fontId="24" fillId="32" borderId="0" xfId="60" applyNumberFormat="1" applyFont="1" applyFill="1" applyBorder="1" applyAlignment="1">
      <alignment horizontal="center" vertical="center" wrapText="1"/>
    </xf>
    <xf numFmtId="4" fontId="24" fillId="33" borderId="0" xfId="0" applyNumberFormat="1" applyFont="1" applyFill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4" fontId="42" fillId="33" borderId="10" xfId="0" applyNumberFormat="1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 wrapText="1"/>
    </xf>
    <xf numFmtId="203" fontId="24" fillId="0" borderId="10" xfId="60" applyFont="1" applyBorder="1" applyAlignment="1">
      <alignment horizontal="center" vertical="center" wrapText="1"/>
    </xf>
    <xf numFmtId="203" fontId="25" fillId="0" borderId="10" xfId="60" applyFont="1" applyBorder="1" applyAlignment="1">
      <alignment horizontal="center" vertical="center" wrapText="1"/>
    </xf>
    <xf numFmtId="9" fontId="25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2" fontId="53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4" fontId="53" fillId="0" borderId="0" xfId="0" applyNumberFormat="1" applyFont="1" applyAlignment="1">
      <alignment vertical="center"/>
    </xf>
    <xf numFmtId="0" fontId="53" fillId="0" borderId="0" xfId="0" applyFont="1" applyAlignment="1">
      <alignment horizontal="justify" vertical="center"/>
    </xf>
    <xf numFmtId="4" fontId="53" fillId="0" borderId="0" xfId="0" applyNumberFormat="1" applyFont="1" applyAlignment="1">
      <alignment horizontal="right" vertical="center"/>
    </xf>
    <xf numFmtId="4" fontId="53" fillId="0" borderId="0" xfId="0" applyNumberFormat="1" applyFont="1" applyFill="1" applyAlignment="1">
      <alignment horizontal="right" vertical="center"/>
    </xf>
    <xf numFmtId="0" fontId="49" fillId="0" borderId="0" xfId="0" applyFont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4" fontId="25" fillId="0" borderId="21" xfId="0" applyNumberFormat="1" applyFont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right" vertical="center" wrapText="1"/>
    </xf>
    <xf numFmtId="4" fontId="24" fillId="33" borderId="17" xfId="0" applyNumberFormat="1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 horizontal="center" vertical="center"/>
    </xf>
    <xf numFmtId="2" fontId="21" fillId="33" borderId="0" xfId="0" applyNumberFormat="1" applyFont="1" applyFill="1" applyAlignment="1">
      <alignment horizontal="center" vertical="center"/>
    </xf>
    <xf numFmtId="2" fontId="24" fillId="33" borderId="17" xfId="0" applyNumberFormat="1" applyFont="1" applyFill="1" applyBorder="1" applyAlignment="1">
      <alignment horizontal="center" vertical="center" wrapText="1"/>
    </xf>
    <xf numFmtId="2" fontId="29" fillId="33" borderId="0" xfId="0" applyNumberFormat="1" applyFont="1" applyFill="1" applyAlignment="1" applyProtection="1">
      <alignment horizontal="center" vertical="center"/>
      <protection locked="0"/>
    </xf>
    <xf numFmtId="2" fontId="24" fillId="33" borderId="18" xfId="0" applyNumberFormat="1" applyFont="1" applyFill="1" applyBorder="1" applyAlignment="1">
      <alignment horizontal="center" vertical="center" wrapText="1"/>
    </xf>
    <xf numFmtId="2" fontId="26" fillId="33" borderId="0" xfId="0" applyNumberFormat="1" applyFont="1" applyFill="1" applyAlignment="1">
      <alignment horizontal="center" vertical="center"/>
    </xf>
    <xf numFmtId="2" fontId="25" fillId="33" borderId="0" xfId="0" applyNumberFormat="1" applyFont="1" applyFill="1" applyAlignment="1">
      <alignment horizontal="center" vertical="center"/>
    </xf>
    <xf numFmtId="2" fontId="49" fillId="33" borderId="0" xfId="0" applyNumberFormat="1" applyFont="1" applyFill="1" applyAlignment="1">
      <alignment horizontal="center" vertical="center"/>
    </xf>
    <xf numFmtId="2" fontId="26" fillId="33" borderId="1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Alignment="1">
      <alignment horizontal="center" vertical="center"/>
    </xf>
    <xf numFmtId="2" fontId="25" fillId="33" borderId="19" xfId="0" applyNumberFormat="1" applyFont="1" applyFill="1" applyBorder="1" applyAlignment="1">
      <alignment horizontal="center" vertical="center" wrapText="1"/>
    </xf>
    <xf numFmtId="2" fontId="90" fillId="33" borderId="10" xfId="0" applyNumberFormat="1" applyFont="1" applyFill="1" applyBorder="1" applyAlignment="1">
      <alignment horizontal="center" vertical="center" wrapText="1"/>
    </xf>
    <xf numFmtId="2" fontId="25" fillId="33" borderId="10" xfId="60" applyNumberFormat="1" applyFont="1" applyFill="1" applyBorder="1" applyAlignment="1">
      <alignment horizontal="center" vertical="center" wrapText="1"/>
    </xf>
    <xf numFmtId="2" fontId="24" fillId="33" borderId="10" xfId="60" applyNumberFormat="1" applyFont="1" applyFill="1" applyBorder="1" applyAlignment="1">
      <alignment horizontal="center" vertical="center"/>
    </xf>
    <xf numFmtId="2" fontId="24" fillId="33" borderId="17" xfId="60" applyNumberFormat="1" applyFont="1" applyFill="1" applyBorder="1" applyAlignment="1">
      <alignment horizontal="center" vertical="center"/>
    </xf>
    <xf numFmtId="2" fontId="24" fillId="33" borderId="21" xfId="60" applyNumberFormat="1" applyFont="1" applyFill="1" applyBorder="1" applyAlignment="1">
      <alignment horizontal="center" vertical="center"/>
    </xf>
    <xf numFmtId="2" fontId="24" fillId="33" borderId="0" xfId="60" applyNumberFormat="1" applyFont="1" applyFill="1" applyBorder="1" applyAlignment="1">
      <alignment horizontal="center" vertical="center"/>
    </xf>
    <xf numFmtId="2" fontId="25" fillId="33" borderId="10" xfId="0" applyNumberFormat="1" applyFont="1" applyFill="1" applyBorder="1" applyAlignment="1">
      <alignment horizontal="center" vertical="center"/>
    </xf>
    <xf numFmtId="2" fontId="25" fillId="33" borderId="0" xfId="0" applyNumberFormat="1" applyFont="1" applyFill="1" applyBorder="1" applyAlignment="1">
      <alignment horizontal="center" vertical="center" wrapText="1"/>
    </xf>
    <xf numFmtId="2" fontId="34" fillId="33" borderId="0" xfId="0" applyNumberFormat="1" applyFont="1" applyFill="1" applyAlignment="1">
      <alignment horizontal="center" vertical="center"/>
    </xf>
    <xf numFmtId="2" fontId="25" fillId="33" borderId="0" xfId="0" applyNumberFormat="1" applyFont="1" applyFill="1" applyBorder="1" applyAlignment="1">
      <alignment horizontal="center" vertical="center"/>
    </xf>
    <xf numFmtId="2" fontId="24" fillId="33" borderId="0" xfId="0" applyNumberFormat="1" applyFont="1" applyFill="1" applyAlignment="1">
      <alignment horizontal="center" vertical="center"/>
    </xf>
    <xf numFmtId="2" fontId="39" fillId="33" borderId="0" xfId="0" applyNumberFormat="1" applyFont="1" applyFill="1" applyAlignment="1">
      <alignment horizontal="center" vertical="center"/>
    </xf>
    <xf numFmtId="2" fontId="25" fillId="33" borderId="0" xfId="0" applyNumberFormat="1" applyFont="1" applyFill="1" applyBorder="1" applyAlignment="1">
      <alignment horizontal="center" vertical="center" wrapText="1"/>
    </xf>
    <xf numFmtId="2" fontId="24" fillId="33" borderId="18" xfId="0" applyNumberFormat="1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right" vertical="center" wrapText="1"/>
    </xf>
    <xf numFmtId="0" fontId="49" fillId="33" borderId="15" xfId="0" applyFont="1" applyFill="1" applyBorder="1" applyAlignment="1">
      <alignment vertical="center" wrapText="1"/>
    </xf>
    <xf numFmtId="0" fontId="25" fillId="33" borderId="15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right" vertical="center" wrapText="1"/>
    </xf>
    <xf numFmtId="0" fontId="25" fillId="33" borderId="15" xfId="0" applyFont="1" applyFill="1" applyBorder="1" applyAlignment="1">
      <alignment horizontal="left" vertical="center" wrapText="1"/>
    </xf>
    <xf numFmtId="0" fontId="49" fillId="33" borderId="18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1" fontId="19" fillId="33" borderId="15" xfId="0" applyNumberFormat="1" applyFont="1" applyFill="1" applyBorder="1" applyAlignment="1">
      <alignment horizontal="center" vertical="center" wrapText="1"/>
    </xf>
    <xf numFmtId="1" fontId="24" fillId="33" borderId="18" xfId="0" applyNumberFormat="1" applyFont="1" applyFill="1" applyBorder="1" applyAlignment="1">
      <alignment horizontal="center" vertical="center" wrapText="1"/>
    </xf>
    <xf numFmtId="1" fontId="24" fillId="33" borderId="15" xfId="0" applyNumberFormat="1" applyFont="1" applyFill="1" applyBorder="1" applyAlignment="1">
      <alignment horizontal="center" vertical="center" wrapText="1"/>
    </xf>
    <xf numFmtId="1" fontId="28" fillId="33" borderId="15" xfId="0" applyNumberFormat="1" applyFont="1" applyFill="1" applyBorder="1" applyAlignment="1">
      <alignment horizontal="center" vertical="center" wrapText="1"/>
    </xf>
    <xf numFmtId="4" fontId="26" fillId="0" borderId="16" xfId="0" applyNumberFormat="1" applyFont="1" applyBorder="1" applyAlignment="1">
      <alignment vertical="center"/>
    </xf>
    <xf numFmtId="4" fontId="25" fillId="0" borderId="18" xfId="0" applyNumberFormat="1" applyFont="1" applyFill="1" applyBorder="1" applyAlignment="1">
      <alignment vertical="center" wrapText="1"/>
    </xf>
    <xf numFmtId="4" fontId="25" fillId="0" borderId="18" xfId="0" applyNumberFormat="1" applyFont="1" applyFill="1" applyBorder="1" applyAlignment="1">
      <alignment vertical="center" wrapText="1"/>
    </xf>
    <xf numFmtId="4" fontId="25" fillId="0" borderId="18" xfId="0" applyNumberFormat="1" applyFont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2" fontId="25" fillId="33" borderId="20" xfId="0" applyNumberFormat="1" applyFont="1" applyFill="1" applyBorder="1" applyAlignment="1">
      <alignment horizontal="center" vertical="center" wrapText="1"/>
    </xf>
    <xf numFmtId="2" fontId="38" fillId="33" borderId="0" xfId="0" applyNumberFormat="1" applyFont="1" applyFill="1" applyAlignment="1">
      <alignment horizontal="center" vertical="center"/>
    </xf>
    <xf numFmtId="4" fontId="25" fillId="33" borderId="15" xfId="0" applyNumberFormat="1" applyFont="1" applyFill="1" applyBorder="1" applyAlignment="1">
      <alignment vertical="center" wrapText="1"/>
    </xf>
    <xf numFmtId="2" fontId="33" fillId="0" borderId="29" xfId="0" applyNumberFormat="1" applyFont="1" applyBorder="1" applyAlignment="1">
      <alignment horizontal="center" vertical="center"/>
    </xf>
    <xf numFmtId="2" fontId="33" fillId="0" borderId="11" xfId="0" applyNumberFormat="1" applyFont="1" applyBorder="1" applyAlignment="1">
      <alignment horizontal="center" vertical="center"/>
    </xf>
    <xf numFmtId="2" fontId="33" fillId="0" borderId="18" xfId="0" applyNumberFormat="1" applyFont="1" applyBorder="1" applyAlignment="1">
      <alignment horizontal="center" vertical="center"/>
    </xf>
    <xf numFmtId="2" fontId="33" fillId="32" borderId="29" xfId="0" applyNumberFormat="1" applyFont="1" applyFill="1" applyBorder="1" applyAlignment="1">
      <alignment horizontal="center" vertical="center"/>
    </xf>
    <xf numFmtId="2" fontId="33" fillId="32" borderId="11" xfId="0" applyNumberFormat="1" applyFont="1" applyFill="1" applyBorder="1" applyAlignment="1">
      <alignment horizontal="center" vertical="center"/>
    </xf>
    <xf numFmtId="2" fontId="33" fillId="32" borderId="18" xfId="0" applyNumberFormat="1" applyFont="1" applyFill="1" applyBorder="1" applyAlignment="1">
      <alignment horizontal="center" vertical="center"/>
    </xf>
    <xf numFmtId="0" fontId="24" fillId="0" borderId="2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2" fontId="33" fillId="0" borderId="29" xfId="0" applyNumberFormat="1" applyFont="1" applyFill="1" applyBorder="1" applyAlignment="1">
      <alignment horizontal="center" vertical="center"/>
    </xf>
    <xf numFmtId="2" fontId="33" fillId="0" borderId="11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21" xfId="0" applyFont="1" applyFill="1" applyBorder="1" applyAlignment="1">
      <alignment horizontal="center" vertical="center"/>
    </xf>
    <xf numFmtId="0" fontId="24" fillId="33" borderId="30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2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2" fontId="24" fillId="0" borderId="21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4" fontId="25" fillId="0" borderId="20" xfId="0" applyNumberFormat="1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right" vertical="center" wrapText="1"/>
    </xf>
    <xf numFmtId="0" fontId="24" fillId="0" borderId="16" xfId="0" applyFont="1" applyBorder="1" applyAlignment="1">
      <alignment horizontal="righ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2" fontId="25" fillId="33" borderId="20" xfId="0" applyNumberFormat="1" applyFont="1" applyFill="1" applyBorder="1" applyAlignment="1">
      <alignment horizontal="center" vertical="center" wrapText="1"/>
    </xf>
    <xf numFmtId="2" fontId="25" fillId="33" borderId="16" xfId="0" applyNumberFormat="1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right" vertical="center" wrapText="1"/>
    </xf>
    <xf numFmtId="0" fontId="25" fillId="0" borderId="16" xfId="0" applyFont="1" applyBorder="1" applyAlignment="1">
      <alignment horizontal="right" vertical="center" wrapText="1"/>
    </xf>
    <xf numFmtId="0" fontId="25" fillId="33" borderId="20" xfId="0" applyFont="1" applyFill="1" applyBorder="1" applyAlignment="1">
      <alignment horizontal="left" vertical="center" wrapText="1"/>
    </xf>
    <xf numFmtId="0" fontId="25" fillId="33" borderId="16" xfId="0" applyFont="1" applyFill="1" applyBorder="1" applyAlignment="1">
      <alignment horizontal="left" vertical="center" wrapText="1"/>
    </xf>
    <xf numFmtId="4" fontId="25" fillId="0" borderId="20" xfId="0" applyNumberFormat="1" applyFont="1" applyBorder="1" applyAlignment="1">
      <alignment horizontal="right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4" fontId="26" fillId="0" borderId="20" xfId="0" applyNumberFormat="1" applyFont="1" applyBorder="1" applyAlignment="1">
      <alignment horizontal="center" vertical="center"/>
    </xf>
    <xf numFmtId="4" fontId="26" fillId="0" borderId="16" xfId="0" applyNumberFormat="1" applyFont="1" applyBorder="1" applyAlignment="1">
      <alignment horizontal="center" vertical="center"/>
    </xf>
    <xf numFmtId="4" fontId="25" fillId="0" borderId="22" xfId="0" applyNumberFormat="1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2" fontId="27" fillId="33" borderId="20" xfId="0" applyNumberFormat="1" applyFont="1" applyFill="1" applyBorder="1" applyAlignment="1">
      <alignment horizontal="center" vertical="center" wrapText="1"/>
    </xf>
    <xf numFmtId="2" fontId="27" fillId="33" borderId="16" xfId="0" applyNumberFormat="1" applyFont="1" applyFill="1" applyBorder="1" applyAlignment="1">
      <alignment horizontal="center" vertical="center" wrapText="1"/>
    </xf>
    <xf numFmtId="2" fontId="28" fillId="33" borderId="20" xfId="0" applyNumberFormat="1" applyFont="1" applyFill="1" applyBorder="1" applyAlignment="1">
      <alignment horizontal="center" vertical="center" wrapText="1"/>
    </xf>
    <xf numFmtId="2" fontId="28" fillId="33" borderId="28" xfId="0" applyNumberFormat="1" applyFont="1" applyFill="1" applyBorder="1" applyAlignment="1">
      <alignment horizontal="center" vertical="center" wrapText="1"/>
    </xf>
    <xf numFmtId="2" fontId="28" fillId="33" borderId="16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2" fontId="20" fillId="33" borderId="20" xfId="0" applyNumberFormat="1" applyFont="1" applyFill="1" applyBorder="1" applyAlignment="1">
      <alignment horizontal="center" vertical="center" wrapText="1"/>
    </xf>
    <xf numFmtId="2" fontId="20" fillId="33" borderId="16" xfId="0" applyNumberFormat="1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7" fillId="33" borderId="3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" fontId="7" fillId="0" borderId="32" xfId="0" applyNumberFormat="1" applyFont="1" applyBorder="1" applyAlignment="1">
      <alignment horizontal="center" vertical="center" wrapText="1"/>
    </xf>
    <xf numFmtId="1" fontId="7" fillId="0" borderId="33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7:AC441"/>
  <sheetViews>
    <sheetView tabSelected="1" view="pageBreakPreview" zoomScale="75" zoomScaleNormal="75" zoomScaleSheetLayoutView="75" zoomScalePageLayoutView="0" workbookViewId="0" topLeftCell="J1">
      <pane ySplit="9" topLeftCell="A10" activePane="bottomLeft" state="frozen"/>
      <selection pane="topLeft" activeCell="A1" sqref="A1"/>
      <selection pane="bottomLeft" activeCell="Q15" sqref="Q15"/>
    </sheetView>
  </sheetViews>
  <sheetFormatPr defaultColWidth="9.00390625" defaultRowHeight="12.75"/>
  <cols>
    <col min="1" max="1" width="11.375" style="4" customWidth="1"/>
    <col min="2" max="2" width="77.25390625" style="4" customWidth="1"/>
    <col min="3" max="3" width="20.25390625" style="358" customWidth="1"/>
    <col min="4" max="4" width="27.625" style="4" customWidth="1"/>
    <col min="5" max="5" width="24.625" style="4" customWidth="1"/>
    <col min="6" max="6" width="24.25390625" style="4" customWidth="1"/>
    <col min="7" max="7" width="26.00390625" style="4" customWidth="1"/>
    <col min="8" max="8" width="23.75390625" style="4" customWidth="1"/>
    <col min="9" max="9" width="24.75390625" style="4" customWidth="1"/>
    <col min="10" max="10" width="23.75390625" style="4" customWidth="1"/>
    <col min="11" max="11" width="26.875" style="4" customWidth="1"/>
    <col min="12" max="12" width="26.375" style="4" customWidth="1"/>
    <col min="13" max="13" width="20.125" style="4" customWidth="1"/>
    <col min="14" max="14" width="26.25390625" style="4" customWidth="1"/>
    <col min="15" max="15" width="24.875" style="4" customWidth="1"/>
    <col min="16" max="16" width="26.75390625" style="4" customWidth="1"/>
    <col min="17" max="17" width="39.625" style="4" customWidth="1"/>
    <col min="18" max="18" width="20.25390625" style="4" customWidth="1"/>
    <col min="19" max="19" width="13.25390625" style="4" bestFit="1" customWidth="1"/>
    <col min="20" max="16384" width="9.125" style="4" customWidth="1"/>
  </cols>
  <sheetData>
    <row r="1" ht="12.75"/>
    <row r="2" ht="12.75"/>
    <row r="3" ht="0.75" customHeight="1"/>
    <row r="4" ht="12.75" hidden="1"/>
    <row r="5" ht="29.25" customHeight="1" hidden="1"/>
    <row r="6" ht="64.5" customHeight="1"/>
    <row r="7" spans="1:18" ht="24" customHeight="1">
      <c r="A7" s="499" t="s">
        <v>1</v>
      </c>
      <c r="B7" s="499" t="s">
        <v>2</v>
      </c>
      <c r="C7" s="503" t="s">
        <v>3</v>
      </c>
      <c r="D7" s="499" t="s">
        <v>12</v>
      </c>
      <c r="E7" s="505" t="s">
        <v>101</v>
      </c>
      <c r="F7" s="506"/>
      <c r="G7" s="506"/>
      <c r="H7" s="506"/>
      <c r="I7" s="506"/>
      <c r="J7" s="507"/>
      <c r="K7" s="508" t="s">
        <v>102</v>
      </c>
      <c r="L7" s="505" t="s">
        <v>103</v>
      </c>
      <c r="M7" s="506"/>
      <c r="N7" s="506"/>
      <c r="O7" s="498" t="s">
        <v>106</v>
      </c>
      <c r="P7" s="498"/>
      <c r="Q7" s="499" t="s">
        <v>4</v>
      </c>
      <c r="R7" s="499" t="s">
        <v>5</v>
      </c>
    </row>
    <row r="8" spans="1:18" ht="125.25" customHeight="1">
      <c r="A8" s="500"/>
      <c r="B8" s="500"/>
      <c r="C8" s="504"/>
      <c r="D8" s="500"/>
      <c r="E8" s="21" t="s">
        <v>6</v>
      </c>
      <c r="F8" s="21" t="s">
        <v>108</v>
      </c>
      <c r="G8" s="21" t="s">
        <v>197</v>
      </c>
      <c r="H8" s="21" t="s">
        <v>294</v>
      </c>
      <c r="I8" s="21" t="s">
        <v>293</v>
      </c>
      <c r="J8" s="21" t="s">
        <v>181</v>
      </c>
      <c r="K8" s="509"/>
      <c r="L8" s="21" t="s">
        <v>104</v>
      </c>
      <c r="M8" s="21" t="s">
        <v>105</v>
      </c>
      <c r="N8" s="21" t="s">
        <v>97</v>
      </c>
      <c r="O8" s="21" t="s">
        <v>107</v>
      </c>
      <c r="P8" s="21" t="s">
        <v>176</v>
      </c>
      <c r="Q8" s="500"/>
      <c r="R8" s="500"/>
    </row>
    <row r="9" spans="1:18" ht="25.5">
      <c r="A9" s="25">
        <v>1</v>
      </c>
      <c r="B9" s="26">
        <v>2</v>
      </c>
      <c r="C9" s="396">
        <v>3</v>
      </c>
      <c r="D9" s="26">
        <v>4</v>
      </c>
      <c r="E9" s="26">
        <v>5</v>
      </c>
      <c r="F9" s="27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</row>
    <row r="10" spans="1:18" ht="26.25">
      <c r="A10" s="501" t="s">
        <v>178</v>
      </c>
      <c r="B10" s="502"/>
      <c r="C10" s="502"/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24"/>
      <c r="O10" s="20"/>
      <c r="P10" s="20"/>
      <c r="Q10" s="20"/>
      <c r="R10" s="20"/>
    </row>
    <row r="11" spans="1:18" ht="26.25">
      <c r="A11" s="497" t="s">
        <v>11</v>
      </c>
      <c r="B11" s="496"/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24"/>
      <c r="O11" s="20"/>
      <c r="P11" s="20"/>
      <c r="Q11" s="20"/>
      <c r="R11" s="20"/>
    </row>
    <row r="12" spans="1:18" ht="26.25">
      <c r="A12" s="495" t="s">
        <v>179</v>
      </c>
      <c r="B12" s="496"/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24"/>
      <c r="O12" s="20"/>
      <c r="P12" s="20"/>
      <c r="Q12" s="20"/>
      <c r="R12" s="20"/>
    </row>
    <row r="13" spans="1:18" ht="7.5" customHeight="1">
      <c r="A13" s="497"/>
      <c r="B13" s="496"/>
      <c r="C13" s="496"/>
      <c r="D13" s="496"/>
      <c r="E13" s="496"/>
      <c r="F13" s="496"/>
      <c r="G13" s="496"/>
      <c r="H13" s="496"/>
      <c r="I13" s="496"/>
      <c r="J13" s="496"/>
      <c r="K13" s="496"/>
      <c r="L13" s="496"/>
      <c r="M13" s="496"/>
      <c r="N13" s="24"/>
      <c r="O13" s="20"/>
      <c r="P13" s="20"/>
      <c r="Q13" s="20"/>
      <c r="R13" s="20"/>
    </row>
    <row r="14" spans="1:18" ht="8.25" customHeight="1" hidden="1">
      <c r="A14" s="23"/>
      <c r="B14" s="24"/>
      <c r="C14" s="35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0"/>
      <c r="P14" s="20"/>
      <c r="Q14" s="20"/>
      <c r="R14" s="20"/>
    </row>
    <row r="15" spans="1:18" ht="46.5" customHeight="1">
      <c r="A15" s="29">
        <f>(A14+1)</f>
        <v>1</v>
      </c>
      <c r="B15" s="30" t="s">
        <v>284</v>
      </c>
      <c r="C15" s="299">
        <v>1</v>
      </c>
      <c r="D15" s="309">
        <v>20000</v>
      </c>
      <c r="E15" s="31"/>
      <c r="F15" s="31"/>
      <c r="G15" s="31"/>
      <c r="H15" s="31"/>
      <c r="I15" s="31"/>
      <c r="J15" s="31"/>
      <c r="K15" s="31">
        <f aca="true" t="shared" si="0" ref="K15:K20">SUM(D15:J15)</f>
        <v>20000</v>
      </c>
      <c r="L15" s="31"/>
      <c r="M15" s="31"/>
      <c r="N15" s="31">
        <v>4000</v>
      </c>
      <c r="O15" s="31"/>
      <c r="P15" s="31"/>
      <c r="Q15" s="32">
        <f aca="true" t="shared" si="1" ref="Q15:Q20">SUM(K15:P15)*C15</f>
        <v>24000</v>
      </c>
      <c r="R15" s="33" t="s">
        <v>74</v>
      </c>
    </row>
    <row r="16" spans="1:20" ht="58.5" customHeight="1">
      <c r="A16" s="29">
        <f>(A15+1)</f>
        <v>2</v>
      </c>
      <c r="B16" s="34" t="s">
        <v>271</v>
      </c>
      <c r="C16" s="299">
        <v>1</v>
      </c>
      <c r="D16" s="309">
        <v>19000</v>
      </c>
      <c r="E16" s="31"/>
      <c r="F16" s="31"/>
      <c r="G16" s="31"/>
      <c r="H16" s="31"/>
      <c r="I16" s="31"/>
      <c r="J16" s="31"/>
      <c r="K16" s="31">
        <f t="shared" si="0"/>
        <v>19000</v>
      </c>
      <c r="L16" s="31"/>
      <c r="M16" s="31"/>
      <c r="N16" s="31"/>
      <c r="O16" s="31"/>
      <c r="P16" s="31"/>
      <c r="Q16" s="32">
        <f t="shared" si="1"/>
        <v>19000</v>
      </c>
      <c r="R16" s="35" t="s">
        <v>74</v>
      </c>
      <c r="T16" s="4" t="s">
        <v>100</v>
      </c>
    </row>
    <row r="17" spans="1:18" ht="76.5">
      <c r="A17" s="29">
        <v>3</v>
      </c>
      <c r="B17" s="34" t="s">
        <v>295</v>
      </c>
      <c r="C17" s="299">
        <v>1</v>
      </c>
      <c r="D17" s="309">
        <v>18000</v>
      </c>
      <c r="E17" s="31"/>
      <c r="F17" s="31"/>
      <c r="G17" s="31"/>
      <c r="H17" s="31"/>
      <c r="I17" s="31"/>
      <c r="J17" s="31"/>
      <c r="K17" s="31">
        <f t="shared" si="0"/>
        <v>18000</v>
      </c>
      <c r="L17" s="31"/>
      <c r="M17" s="31"/>
      <c r="N17" s="31"/>
      <c r="O17" s="31"/>
      <c r="P17" s="31"/>
      <c r="Q17" s="32">
        <f t="shared" si="1"/>
        <v>18000</v>
      </c>
      <c r="R17" s="35" t="s">
        <v>74</v>
      </c>
    </row>
    <row r="18" spans="1:18" ht="76.5">
      <c r="A18" s="29">
        <v>4</v>
      </c>
      <c r="B18" s="34" t="s">
        <v>299</v>
      </c>
      <c r="C18" s="299">
        <v>1</v>
      </c>
      <c r="D18" s="309">
        <v>19000</v>
      </c>
      <c r="E18" s="31"/>
      <c r="F18" s="31"/>
      <c r="G18" s="31"/>
      <c r="H18" s="31"/>
      <c r="I18" s="31"/>
      <c r="J18" s="31"/>
      <c r="K18" s="31">
        <f t="shared" si="0"/>
        <v>19000</v>
      </c>
      <c r="L18" s="31"/>
      <c r="M18" s="31"/>
      <c r="N18" s="31"/>
      <c r="O18" s="31"/>
      <c r="P18" s="31"/>
      <c r="Q18" s="32">
        <f t="shared" si="1"/>
        <v>19000</v>
      </c>
      <c r="R18" s="35" t="s">
        <v>74</v>
      </c>
    </row>
    <row r="19" spans="1:18" ht="38.25">
      <c r="A19" s="29">
        <v>5</v>
      </c>
      <c r="B19" s="34" t="s">
        <v>213</v>
      </c>
      <c r="C19" s="299">
        <v>1</v>
      </c>
      <c r="D19" s="31">
        <v>4455</v>
      </c>
      <c r="E19" s="31"/>
      <c r="F19" s="31"/>
      <c r="G19" s="31"/>
      <c r="H19" s="31"/>
      <c r="I19" s="31"/>
      <c r="J19" s="31"/>
      <c r="K19" s="31">
        <f t="shared" si="0"/>
        <v>4455</v>
      </c>
      <c r="L19" s="31"/>
      <c r="M19" s="31"/>
      <c r="N19" s="31"/>
      <c r="O19" s="31"/>
      <c r="P19" s="31"/>
      <c r="Q19" s="32">
        <f t="shared" si="1"/>
        <v>4455</v>
      </c>
      <c r="R19" s="35">
        <v>7</v>
      </c>
    </row>
    <row r="20" spans="1:18" ht="38.25">
      <c r="A20" s="29">
        <v>6</v>
      </c>
      <c r="B20" s="34" t="s">
        <v>0</v>
      </c>
      <c r="C20" s="299">
        <v>1</v>
      </c>
      <c r="D20" s="31">
        <v>5265</v>
      </c>
      <c r="E20" s="31"/>
      <c r="F20" s="31"/>
      <c r="G20" s="31"/>
      <c r="H20" s="31"/>
      <c r="I20" s="31"/>
      <c r="J20" s="31"/>
      <c r="K20" s="31">
        <f t="shared" si="0"/>
        <v>5265</v>
      </c>
      <c r="L20" s="31"/>
      <c r="M20" s="31"/>
      <c r="N20" s="31"/>
      <c r="O20" s="31"/>
      <c r="P20" s="31"/>
      <c r="Q20" s="32">
        <f t="shared" si="1"/>
        <v>5265</v>
      </c>
      <c r="R20" s="35">
        <v>10</v>
      </c>
    </row>
    <row r="21" spans="1:18" ht="58.5" customHeight="1">
      <c r="A21" s="30"/>
      <c r="B21" s="111" t="s">
        <v>18</v>
      </c>
      <c r="C21" s="296">
        <f>SUM(C15:C20)</f>
        <v>6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>
        <f>SUM(Q15:Q20)</f>
        <v>89720</v>
      </c>
      <c r="R21" s="40"/>
    </row>
    <row r="22" spans="1:18" ht="60.75" customHeight="1">
      <c r="A22" s="41" t="s">
        <v>242</v>
      </c>
      <c r="B22" s="42"/>
      <c r="C22" s="360">
        <f>C16+C17+C15</f>
        <v>3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357">
        <f>Q16+Q17</f>
        <v>37000</v>
      </c>
      <c r="R22" s="44"/>
    </row>
    <row r="23" spans="1:18" ht="63" customHeight="1">
      <c r="A23" s="41" t="s">
        <v>243</v>
      </c>
      <c r="B23" s="45"/>
      <c r="C23" s="297">
        <f>C19+C20+C18</f>
        <v>3</v>
      </c>
      <c r="D23" s="45"/>
      <c r="E23" s="45"/>
      <c r="F23" s="45"/>
      <c r="G23" s="45" t="s">
        <v>76</v>
      </c>
      <c r="H23" s="45"/>
      <c r="I23" s="45"/>
      <c r="J23" s="45"/>
      <c r="K23" s="45"/>
      <c r="L23" s="46"/>
      <c r="M23" s="45"/>
      <c r="N23" s="45"/>
      <c r="O23" s="45"/>
      <c r="P23" s="45"/>
      <c r="Q23" s="47">
        <f>Q15+Q19+Q20</f>
        <v>33720</v>
      </c>
      <c r="R23" s="48"/>
    </row>
    <row r="24" spans="1:18" ht="94.5" customHeight="1">
      <c r="A24" s="49"/>
      <c r="B24" s="49"/>
      <c r="C24" s="361" t="s">
        <v>182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1:18" ht="36" customHeight="1">
      <c r="A25" s="50">
        <v>1</v>
      </c>
      <c r="B25" s="51">
        <v>2</v>
      </c>
      <c r="C25" s="397">
        <v>3</v>
      </c>
      <c r="D25" s="51">
        <v>4</v>
      </c>
      <c r="E25" s="51">
        <v>5</v>
      </c>
      <c r="F25" s="51">
        <v>6</v>
      </c>
      <c r="G25" s="51">
        <v>7</v>
      </c>
      <c r="H25" s="51">
        <v>8</v>
      </c>
      <c r="I25" s="51">
        <v>9</v>
      </c>
      <c r="J25" s="51">
        <v>10</v>
      </c>
      <c r="K25" s="51">
        <v>11</v>
      </c>
      <c r="L25" s="51">
        <v>12</v>
      </c>
      <c r="M25" s="51">
        <v>13</v>
      </c>
      <c r="N25" s="51">
        <v>14</v>
      </c>
      <c r="O25" s="51">
        <v>15</v>
      </c>
      <c r="P25" s="51">
        <v>16</v>
      </c>
      <c r="Q25" s="51">
        <v>17</v>
      </c>
      <c r="R25" s="51">
        <v>18</v>
      </c>
    </row>
    <row r="26" spans="1:18" ht="45" customHeight="1">
      <c r="A26" s="52">
        <v>1</v>
      </c>
      <c r="B26" s="53" t="s">
        <v>13</v>
      </c>
      <c r="C26" s="292">
        <v>0.5</v>
      </c>
      <c r="D26" s="54">
        <v>4745</v>
      </c>
      <c r="E26" s="55"/>
      <c r="F26" s="55"/>
      <c r="G26" s="55"/>
      <c r="H26" s="55"/>
      <c r="I26" s="55"/>
      <c r="J26" s="55"/>
      <c r="K26" s="55">
        <f>SUM(D26:J26)</f>
        <v>4745</v>
      </c>
      <c r="L26" s="55"/>
      <c r="M26" s="55"/>
      <c r="N26" s="55"/>
      <c r="O26" s="55"/>
      <c r="P26" s="55"/>
      <c r="Q26" s="32">
        <f aca="true" t="shared" si="2" ref="Q26:Q46">SUM(K26:P26)*C26</f>
        <v>2372.5</v>
      </c>
      <c r="R26" s="56">
        <v>8</v>
      </c>
    </row>
    <row r="27" spans="1:18" ht="41.25" customHeight="1">
      <c r="A27" s="52">
        <v>2</v>
      </c>
      <c r="B27" s="53" t="s">
        <v>221</v>
      </c>
      <c r="C27" s="292">
        <v>1</v>
      </c>
      <c r="D27" s="54">
        <v>5265</v>
      </c>
      <c r="E27" s="55"/>
      <c r="F27" s="55"/>
      <c r="G27" s="55"/>
      <c r="H27" s="55"/>
      <c r="I27" s="55"/>
      <c r="J27" s="55"/>
      <c r="K27" s="55">
        <f>SUM(D27:J27)</f>
        <v>5265</v>
      </c>
      <c r="L27" s="55"/>
      <c r="M27" s="55"/>
      <c r="N27" s="55"/>
      <c r="O27" s="55"/>
      <c r="P27" s="55"/>
      <c r="Q27" s="32">
        <f t="shared" si="2"/>
        <v>5265</v>
      </c>
      <c r="R27" s="56">
        <v>10</v>
      </c>
    </row>
    <row r="28" spans="1:18" ht="76.5">
      <c r="A28" s="52">
        <v>3</v>
      </c>
      <c r="B28" s="53" t="s">
        <v>175</v>
      </c>
      <c r="C28" s="292">
        <v>0.5</v>
      </c>
      <c r="D28" s="54">
        <v>5265</v>
      </c>
      <c r="E28" s="55"/>
      <c r="F28" s="55"/>
      <c r="G28" s="55"/>
      <c r="H28" s="55"/>
      <c r="I28" s="55"/>
      <c r="J28" s="55"/>
      <c r="K28" s="55">
        <f>D28+E28+F28+G28+H28+I28+J28</f>
        <v>5265</v>
      </c>
      <c r="L28" s="55"/>
      <c r="M28" s="55"/>
      <c r="N28" s="55"/>
      <c r="O28" s="55"/>
      <c r="P28" s="55"/>
      <c r="Q28" s="32">
        <f t="shared" si="2"/>
        <v>2632.5</v>
      </c>
      <c r="R28" s="56">
        <v>10</v>
      </c>
    </row>
    <row r="29" spans="1:18" ht="76.5">
      <c r="A29" s="52">
        <v>4</v>
      </c>
      <c r="B29" s="30" t="s">
        <v>264</v>
      </c>
      <c r="C29" s="299">
        <v>0.5</v>
      </c>
      <c r="D29" s="32">
        <v>4195</v>
      </c>
      <c r="E29" s="32"/>
      <c r="F29" s="32"/>
      <c r="G29" s="32"/>
      <c r="H29" s="32" t="s">
        <v>76</v>
      </c>
      <c r="I29" s="32"/>
      <c r="J29" s="32"/>
      <c r="K29" s="31">
        <f>SUM(D29:J29)</f>
        <v>4195</v>
      </c>
      <c r="L29" s="32"/>
      <c r="M29" s="32"/>
      <c r="N29" s="32"/>
      <c r="O29" s="32"/>
      <c r="P29" s="32"/>
      <c r="Q29" s="32">
        <f t="shared" si="2"/>
        <v>2097.5</v>
      </c>
      <c r="R29" s="33">
        <v>6</v>
      </c>
    </row>
    <row r="30" spans="1:18" ht="76.5">
      <c r="A30" s="52">
        <v>5</v>
      </c>
      <c r="B30" s="53" t="s">
        <v>222</v>
      </c>
      <c r="C30" s="292">
        <v>1</v>
      </c>
      <c r="D30" s="54">
        <v>5265</v>
      </c>
      <c r="E30" s="55"/>
      <c r="F30" s="55"/>
      <c r="G30" s="55"/>
      <c r="H30" s="55"/>
      <c r="I30" s="55"/>
      <c r="J30" s="55"/>
      <c r="K30" s="55">
        <f>D30+E30+F30+G30+H30+I30+J30</f>
        <v>5265</v>
      </c>
      <c r="L30" s="55"/>
      <c r="M30" s="55"/>
      <c r="N30" s="55"/>
      <c r="O30" s="55"/>
      <c r="P30" s="55"/>
      <c r="Q30" s="32">
        <f t="shared" si="2"/>
        <v>5265</v>
      </c>
      <c r="R30" s="56">
        <v>10</v>
      </c>
    </row>
    <row r="31" spans="1:18" ht="38.25">
      <c r="A31" s="52">
        <v>6</v>
      </c>
      <c r="B31" s="53" t="s">
        <v>298</v>
      </c>
      <c r="C31" s="292">
        <v>0.5</v>
      </c>
      <c r="D31" s="54">
        <v>5265</v>
      </c>
      <c r="E31" s="55"/>
      <c r="F31" s="55"/>
      <c r="G31" s="55"/>
      <c r="H31" s="55"/>
      <c r="I31" s="55"/>
      <c r="J31" s="55"/>
      <c r="K31" s="55">
        <f>D31+E31+F31+G31+H31+I31+J31</f>
        <v>5265</v>
      </c>
      <c r="L31" s="55"/>
      <c r="M31" s="55"/>
      <c r="N31" s="55"/>
      <c r="O31" s="55"/>
      <c r="P31" s="55"/>
      <c r="Q31" s="32">
        <f t="shared" si="2"/>
        <v>2632.5</v>
      </c>
      <c r="R31" s="56">
        <v>10</v>
      </c>
    </row>
    <row r="32" spans="1:18" ht="39.75" customHeight="1">
      <c r="A32" s="52">
        <v>7</v>
      </c>
      <c r="B32" s="53" t="s">
        <v>88</v>
      </c>
      <c r="C32" s="292">
        <v>1</v>
      </c>
      <c r="D32" s="54">
        <v>4455</v>
      </c>
      <c r="E32" s="55"/>
      <c r="F32" s="55"/>
      <c r="G32" s="55"/>
      <c r="H32" s="55"/>
      <c r="I32" s="55"/>
      <c r="J32" s="55"/>
      <c r="K32" s="55">
        <f>D32+E32+F32+G32+H32+I32+J32</f>
        <v>4455</v>
      </c>
      <c r="L32" s="55"/>
      <c r="M32" s="55"/>
      <c r="N32" s="55"/>
      <c r="O32" s="55"/>
      <c r="P32" s="55"/>
      <c r="Q32" s="32">
        <f t="shared" si="2"/>
        <v>4455</v>
      </c>
      <c r="R32" s="56">
        <v>7</v>
      </c>
    </row>
    <row r="33" spans="1:18" ht="39.75" customHeight="1">
      <c r="A33" s="52">
        <v>8</v>
      </c>
      <c r="B33" s="53" t="s">
        <v>99</v>
      </c>
      <c r="C33" s="292">
        <v>1</v>
      </c>
      <c r="D33" s="55">
        <v>3674</v>
      </c>
      <c r="E33" s="55"/>
      <c r="F33" s="55"/>
      <c r="G33" s="55"/>
      <c r="H33" s="55"/>
      <c r="I33" s="55"/>
      <c r="J33" s="55"/>
      <c r="K33" s="55">
        <f aca="true" t="shared" si="3" ref="K33:K46">SUM(D33:J33)</f>
        <v>3674</v>
      </c>
      <c r="L33" s="55"/>
      <c r="M33" s="55"/>
      <c r="N33" s="55"/>
      <c r="O33" s="55"/>
      <c r="P33" s="55"/>
      <c r="Q33" s="32">
        <f t="shared" si="2"/>
        <v>3674</v>
      </c>
      <c r="R33" s="56">
        <v>4</v>
      </c>
    </row>
    <row r="34" spans="1:18" ht="39.75" customHeight="1">
      <c r="A34" s="52">
        <v>9</v>
      </c>
      <c r="B34" s="53" t="s">
        <v>173</v>
      </c>
      <c r="C34" s="292">
        <v>1</v>
      </c>
      <c r="D34" s="55">
        <v>3934</v>
      </c>
      <c r="E34" s="55"/>
      <c r="F34" s="55"/>
      <c r="G34" s="55"/>
      <c r="H34" s="55"/>
      <c r="I34" s="55"/>
      <c r="J34" s="55"/>
      <c r="K34" s="55">
        <f t="shared" si="3"/>
        <v>3934</v>
      </c>
      <c r="L34" s="55"/>
      <c r="M34" s="55"/>
      <c r="N34" s="55"/>
      <c r="O34" s="55"/>
      <c r="P34" s="55"/>
      <c r="Q34" s="32">
        <f t="shared" si="2"/>
        <v>3934</v>
      </c>
      <c r="R34" s="56">
        <v>5</v>
      </c>
    </row>
    <row r="35" spans="1:18" ht="39.75" customHeight="1">
      <c r="A35" s="52">
        <v>10</v>
      </c>
      <c r="B35" s="53" t="s">
        <v>14</v>
      </c>
      <c r="C35" s="292">
        <v>0.5</v>
      </c>
      <c r="D35" s="55">
        <v>3674</v>
      </c>
      <c r="E35" s="55"/>
      <c r="F35" s="55"/>
      <c r="G35" s="55"/>
      <c r="H35" s="55"/>
      <c r="I35" s="55"/>
      <c r="J35" s="55"/>
      <c r="K35" s="55">
        <f t="shared" si="3"/>
        <v>3674</v>
      </c>
      <c r="L35" s="55"/>
      <c r="M35" s="55"/>
      <c r="N35" s="55"/>
      <c r="O35" s="55"/>
      <c r="P35" s="55"/>
      <c r="Q35" s="32">
        <f t="shared" si="2"/>
        <v>1837</v>
      </c>
      <c r="R35" s="56">
        <v>4</v>
      </c>
    </row>
    <row r="36" spans="1:18" ht="39.75" customHeight="1">
      <c r="A36" s="52">
        <v>11</v>
      </c>
      <c r="B36" s="386" t="s">
        <v>214</v>
      </c>
      <c r="C36" s="292">
        <v>1</v>
      </c>
      <c r="D36" s="55">
        <v>2893</v>
      </c>
      <c r="E36" s="55"/>
      <c r="F36" s="55"/>
      <c r="G36" s="55"/>
      <c r="H36" s="55"/>
      <c r="I36" s="55"/>
      <c r="J36" s="55"/>
      <c r="K36" s="55">
        <f t="shared" si="3"/>
        <v>2893</v>
      </c>
      <c r="L36" s="55"/>
      <c r="M36" s="55"/>
      <c r="N36" s="55"/>
      <c r="O36" s="57"/>
      <c r="P36" s="55"/>
      <c r="Q36" s="32">
        <f t="shared" si="2"/>
        <v>2893</v>
      </c>
      <c r="R36" s="56">
        <v>1</v>
      </c>
    </row>
    <row r="37" spans="1:18" ht="76.5">
      <c r="A37" s="52">
        <v>12</v>
      </c>
      <c r="B37" s="30" t="s">
        <v>15</v>
      </c>
      <c r="C37" s="299">
        <v>2</v>
      </c>
      <c r="D37" s="32">
        <v>3414</v>
      </c>
      <c r="E37" s="58"/>
      <c r="F37" s="58"/>
      <c r="G37" s="58"/>
      <c r="H37" s="32"/>
      <c r="I37" s="58"/>
      <c r="J37" s="58"/>
      <c r="K37" s="32">
        <f t="shared" si="3"/>
        <v>3414</v>
      </c>
      <c r="L37" s="58"/>
      <c r="M37" s="58"/>
      <c r="N37" s="58"/>
      <c r="O37" s="59"/>
      <c r="P37" s="55"/>
      <c r="Q37" s="32">
        <f t="shared" si="2"/>
        <v>6828</v>
      </c>
      <c r="R37" s="40">
        <v>3</v>
      </c>
    </row>
    <row r="38" spans="1:18" ht="62.25" customHeight="1">
      <c r="A38" s="52">
        <v>13</v>
      </c>
      <c r="B38" s="30" t="s">
        <v>85</v>
      </c>
      <c r="C38" s="299">
        <v>3</v>
      </c>
      <c r="D38" s="32">
        <v>2893</v>
      </c>
      <c r="E38" s="32"/>
      <c r="F38" s="32"/>
      <c r="G38" s="32"/>
      <c r="H38" s="32"/>
      <c r="I38" s="32"/>
      <c r="J38" s="32"/>
      <c r="K38" s="32">
        <f t="shared" si="3"/>
        <v>2893</v>
      </c>
      <c r="L38" s="32"/>
      <c r="M38" s="32"/>
      <c r="N38" s="32"/>
      <c r="O38" s="59"/>
      <c r="P38" s="55"/>
      <c r="Q38" s="32">
        <f t="shared" si="2"/>
        <v>8679</v>
      </c>
      <c r="R38" s="40">
        <v>1</v>
      </c>
    </row>
    <row r="39" spans="1:18" ht="39.75" customHeight="1">
      <c r="A39" s="52">
        <v>14</v>
      </c>
      <c r="B39" s="30" t="s">
        <v>16</v>
      </c>
      <c r="C39" s="299">
        <v>1.75</v>
      </c>
      <c r="D39" s="32">
        <v>3153</v>
      </c>
      <c r="E39" s="32"/>
      <c r="F39" s="32"/>
      <c r="G39" s="32"/>
      <c r="H39" s="32"/>
      <c r="I39" s="32"/>
      <c r="J39" s="32"/>
      <c r="K39" s="32">
        <f t="shared" si="3"/>
        <v>3153</v>
      </c>
      <c r="L39" s="32"/>
      <c r="M39" s="32"/>
      <c r="N39" s="32"/>
      <c r="O39" s="59"/>
      <c r="P39" s="55"/>
      <c r="Q39" s="32">
        <f t="shared" si="2"/>
        <v>5517.75</v>
      </c>
      <c r="R39" s="40">
        <v>2</v>
      </c>
    </row>
    <row r="40" spans="1:18" ht="76.5">
      <c r="A40" s="52">
        <v>15</v>
      </c>
      <c r="B40" s="30" t="s">
        <v>17</v>
      </c>
      <c r="C40" s="299">
        <v>1</v>
      </c>
      <c r="D40" s="32">
        <v>4195</v>
      </c>
      <c r="E40" s="32"/>
      <c r="F40" s="32"/>
      <c r="G40" s="32"/>
      <c r="H40" s="32"/>
      <c r="I40" s="32"/>
      <c r="J40" s="32"/>
      <c r="K40" s="32">
        <f t="shared" si="3"/>
        <v>4195</v>
      </c>
      <c r="L40" s="32"/>
      <c r="M40" s="32"/>
      <c r="N40" s="32"/>
      <c r="O40" s="59"/>
      <c r="P40" s="55"/>
      <c r="Q40" s="32">
        <f t="shared" si="2"/>
        <v>4195</v>
      </c>
      <c r="R40" s="40">
        <v>6</v>
      </c>
    </row>
    <row r="41" spans="1:18" ht="54.75" customHeight="1">
      <c r="A41" s="52">
        <v>16</v>
      </c>
      <c r="B41" s="30" t="s">
        <v>216</v>
      </c>
      <c r="C41" s="299">
        <v>2.75</v>
      </c>
      <c r="D41" s="32">
        <v>3934</v>
      </c>
      <c r="E41" s="58"/>
      <c r="F41" s="58"/>
      <c r="G41" s="58"/>
      <c r="H41" s="32"/>
      <c r="I41" s="58"/>
      <c r="J41" s="58"/>
      <c r="K41" s="32">
        <f t="shared" si="3"/>
        <v>3934</v>
      </c>
      <c r="L41" s="58"/>
      <c r="M41" s="58"/>
      <c r="N41" s="58"/>
      <c r="O41" s="59">
        <f>K41*12%</f>
        <v>472.08</v>
      </c>
      <c r="P41" s="55"/>
      <c r="Q41" s="32">
        <f t="shared" si="2"/>
        <v>12116.72</v>
      </c>
      <c r="R41" s="40">
        <v>5</v>
      </c>
    </row>
    <row r="42" spans="1:18" ht="57.75" customHeight="1">
      <c r="A42" s="52">
        <v>17</v>
      </c>
      <c r="B42" s="53" t="s">
        <v>86</v>
      </c>
      <c r="C42" s="292">
        <v>1</v>
      </c>
      <c r="D42" s="55">
        <v>4455</v>
      </c>
      <c r="E42" s="55"/>
      <c r="F42" s="55"/>
      <c r="G42" s="60"/>
      <c r="H42" s="60"/>
      <c r="I42" s="55"/>
      <c r="J42" s="55"/>
      <c r="K42" s="55">
        <f t="shared" si="3"/>
        <v>4455</v>
      </c>
      <c r="L42" s="55"/>
      <c r="M42" s="55"/>
      <c r="N42" s="55"/>
      <c r="O42" s="57"/>
      <c r="P42" s="55"/>
      <c r="Q42" s="32">
        <f t="shared" si="2"/>
        <v>4455</v>
      </c>
      <c r="R42" s="56">
        <v>7</v>
      </c>
    </row>
    <row r="43" spans="1:18" ht="55.5" customHeight="1">
      <c r="A43" s="52">
        <v>18</v>
      </c>
      <c r="B43" s="61" t="s">
        <v>129</v>
      </c>
      <c r="C43" s="406">
        <v>1</v>
      </c>
      <c r="D43" s="55">
        <v>3934</v>
      </c>
      <c r="E43" s="62"/>
      <c r="F43" s="62"/>
      <c r="G43" s="62"/>
      <c r="H43" s="62"/>
      <c r="I43" s="62"/>
      <c r="J43" s="62"/>
      <c r="K43" s="55">
        <f t="shared" si="3"/>
        <v>3934</v>
      </c>
      <c r="L43" s="62"/>
      <c r="M43" s="62"/>
      <c r="N43" s="62"/>
      <c r="O43" s="316"/>
      <c r="P43" s="55"/>
      <c r="Q43" s="32">
        <f t="shared" si="2"/>
        <v>3934</v>
      </c>
      <c r="R43" s="63">
        <v>5</v>
      </c>
    </row>
    <row r="44" spans="1:18" ht="49.5" customHeight="1">
      <c r="A44" s="52">
        <v>19</v>
      </c>
      <c r="B44" s="64" t="s">
        <v>288</v>
      </c>
      <c r="C44" s="299">
        <v>0.5</v>
      </c>
      <c r="D44" s="55">
        <v>3674</v>
      </c>
      <c r="E44" s="32"/>
      <c r="F44" s="32"/>
      <c r="G44" s="32"/>
      <c r="H44" s="32"/>
      <c r="I44" s="32"/>
      <c r="J44" s="32"/>
      <c r="K44" s="55">
        <f t="shared" si="3"/>
        <v>3674</v>
      </c>
      <c r="L44" s="32"/>
      <c r="M44" s="32"/>
      <c r="N44" s="32"/>
      <c r="O44" s="59">
        <f>K44*12%</f>
        <v>440.88</v>
      </c>
      <c r="P44" s="55"/>
      <c r="Q44" s="32">
        <f t="shared" si="2"/>
        <v>2057.44</v>
      </c>
      <c r="R44" s="40">
        <v>4</v>
      </c>
    </row>
    <row r="45" spans="1:18" ht="49.5" customHeight="1">
      <c r="A45" s="52">
        <v>20</v>
      </c>
      <c r="B45" s="64" t="s">
        <v>289</v>
      </c>
      <c r="C45" s="292">
        <v>0.25</v>
      </c>
      <c r="D45" s="55">
        <v>3674</v>
      </c>
      <c r="E45" s="55"/>
      <c r="F45" s="55"/>
      <c r="G45" s="55"/>
      <c r="H45" s="55"/>
      <c r="I45" s="55"/>
      <c r="J45" s="55"/>
      <c r="K45" s="55">
        <f t="shared" si="3"/>
        <v>3674</v>
      </c>
      <c r="L45" s="355"/>
      <c r="M45" s="32"/>
      <c r="N45" s="55"/>
      <c r="O45" s="59">
        <f>K45*12%</f>
        <v>440.88</v>
      </c>
      <c r="P45" s="55"/>
      <c r="Q45" s="32">
        <f t="shared" si="2"/>
        <v>1028.72</v>
      </c>
      <c r="R45" s="56">
        <v>4</v>
      </c>
    </row>
    <row r="46" spans="1:18" ht="71.25" customHeight="1">
      <c r="A46" s="52">
        <v>21</v>
      </c>
      <c r="B46" s="66" t="s">
        <v>201</v>
      </c>
      <c r="C46" s="292">
        <v>0.5</v>
      </c>
      <c r="D46" s="55">
        <v>3414</v>
      </c>
      <c r="E46" s="67"/>
      <c r="F46" s="67"/>
      <c r="G46" s="67"/>
      <c r="H46" s="55"/>
      <c r="I46" s="67"/>
      <c r="J46" s="67"/>
      <c r="K46" s="55">
        <f t="shared" si="3"/>
        <v>3414</v>
      </c>
      <c r="L46" s="68"/>
      <c r="M46" s="58"/>
      <c r="N46" s="67"/>
      <c r="O46" s="57">
        <f>K46*12%</f>
        <v>409.68</v>
      </c>
      <c r="P46" s="55"/>
      <c r="Q46" s="32">
        <f t="shared" si="2"/>
        <v>1911.84</v>
      </c>
      <c r="R46" s="56">
        <v>3</v>
      </c>
    </row>
    <row r="47" spans="1:18" ht="80.25" customHeight="1">
      <c r="A47" s="75"/>
      <c r="B47" s="76" t="s">
        <v>18</v>
      </c>
      <c r="C47" s="293">
        <f>C46+C44+C43+C42+C41+C40+C39+C38+C37+C36+C35+C34+C33+C32+C28+C26+C30+C27+C29+C45+C31</f>
        <v>22.25</v>
      </c>
      <c r="D47" s="317">
        <f>D46+D44+D43+D42+D41+D40+D39+D38+D37+D36+D35+D34+D33+D32+D28+D26+D30</f>
        <v>66971</v>
      </c>
      <c r="E47" s="317"/>
      <c r="F47" s="317"/>
      <c r="G47" s="317"/>
      <c r="H47" s="317"/>
      <c r="I47" s="317"/>
      <c r="J47" s="317"/>
      <c r="K47" s="317">
        <f>K46+K44+K43+K42+K41+K40+K39+K38+K37+K36+K35+K34+K33+K32+K28+K26+K30+K29+K45</f>
        <v>74840</v>
      </c>
      <c r="L47" s="317"/>
      <c r="M47" s="317"/>
      <c r="N47" s="317"/>
      <c r="O47" s="317"/>
      <c r="P47" s="317"/>
      <c r="Q47" s="317">
        <f>Q26+Q27+Q28+Q30+Q32+Q33+Q34+Q35+Q36+Q37+Q38+Q39+Q40+Q41+Q42+Q43+Q44+Q46+Q29+Q45</f>
        <v>85148.97</v>
      </c>
      <c r="R47" s="73"/>
    </row>
    <row r="48" spans="1:18" ht="25.5" hidden="1">
      <c r="A48" s="28"/>
      <c r="B48" s="20"/>
      <c r="C48" s="35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ht="25.5" hidden="1">
      <c r="A49" s="28"/>
      <c r="B49" s="20"/>
      <c r="C49" s="35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ht="110.25" customHeight="1">
      <c r="A50" s="488" t="s">
        <v>74</v>
      </c>
      <c r="B50" s="488"/>
      <c r="C50" s="488"/>
      <c r="D50" s="488"/>
      <c r="E50" s="488"/>
      <c r="F50" s="488"/>
      <c r="G50" s="488"/>
      <c r="H50" s="488"/>
      <c r="I50" s="488"/>
      <c r="J50" s="488"/>
      <c r="K50" s="488"/>
      <c r="L50" s="488"/>
      <c r="M50" s="488"/>
      <c r="N50" s="488"/>
      <c r="O50" s="488"/>
      <c r="P50" s="488"/>
      <c r="Q50" s="488"/>
      <c r="R50" s="488"/>
    </row>
    <row r="51" spans="1:18" ht="38.25" hidden="1">
      <c r="A51" s="78"/>
      <c r="B51" s="49"/>
      <c r="C51" s="363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</row>
    <row r="52" spans="1:29" s="7" customFormat="1" ht="37.5">
      <c r="A52" s="50">
        <v>1</v>
      </c>
      <c r="B52" s="51">
        <v>2</v>
      </c>
      <c r="C52" s="397">
        <v>3</v>
      </c>
      <c r="D52" s="51">
        <v>4</v>
      </c>
      <c r="E52" s="51">
        <v>5</v>
      </c>
      <c r="F52" s="51">
        <v>6</v>
      </c>
      <c r="G52" s="51">
        <v>7</v>
      </c>
      <c r="H52" s="51">
        <v>8</v>
      </c>
      <c r="I52" s="51">
        <v>9</v>
      </c>
      <c r="J52" s="51">
        <v>10</v>
      </c>
      <c r="K52" s="51">
        <v>11</v>
      </c>
      <c r="L52" s="51">
        <v>12</v>
      </c>
      <c r="M52" s="51">
        <v>13</v>
      </c>
      <c r="N52" s="51">
        <v>14</v>
      </c>
      <c r="O52" s="51">
        <v>15</v>
      </c>
      <c r="P52" s="51">
        <v>16</v>
      </c>
      <c r="Q52" s="51">
        <v>17</v>
      </c>
      <c r="R52" s="51">
        <v>18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s="3" customFormat="1" ht="76.5">
      <c r="A53" s="79">
        <v>1</v>
      </c>
      <c r="B53" s="80" t="s">
        <v>87</v>
      </c>
      <c r="C53" s="300">
        <v>0.75</v>
      </c>
      <c r="D53" s="69">
        <v>3153</v>
      </c>
      <c r="E53" s="69"/>
      <c r="F53" s="69"/>
      <c r="G53" s="69"/>
      <c r="H53" s="81">
        <f>D53*20%</f>
        <v>630.6</v>
      </c>
      <c r="I53" s="69"/>
      <c r="J53" s="69"/>
      <c r="K53" s="69">
        <f>SUM(D53:J53)</f>
        <v>3783.6</v>
      </c>
      <c r="L53" s="69"/>
      <c r="M53" s="69"/>
      <c r="N53" s="69"/>
      <c r="O53" s="69">
        <f>K53*12%</f>
        <v>454.032</v>
      </c>
      <c r="P53" s="73"/>
      <c r="Q53" s="72">
        <f>SUM(K53:P53)*C53</f>
        <v>3178.2239999999997</v>
      </c>
      <c r="R53" s="73">
        <v>2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38.25">
      <c r="A54" s="441" t="s">
        <v>18</v>
      </c>
      <c r="B54" s="442"/>
      <c r="C54" s="301">
        <f>SUM(C53:C53)</f>
        <v>0.75</v>
      </c>
      <c r="D54" s="82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83">
        <f>Q53</f>
        <v>3178.2239999999997</v>
      </c>
      <c r="R54" s="5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3.75" customHeight="1">
      <c r="A55" s="243"/>
      <c r="B55" s="243"/>
      <c r="C55" s="302"/>
      <c r="D55" s="156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289"/>
      <c r="R55" s="159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18" ht="68.25" customHeight="1">
      <c r="A56" s="488" t="s">
        <v>50</v>
      </c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</row>
    <row r="57" spans="1:18" ht="3.75" customHeight="1">
      <c r="A57" s="78"/>
      <c r="B57" s="49"/>
      <c r="C57" s="363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</row>
    <row r="58" spans="1:18" ht="37.5">
      <c r="A58" s="50">
        <v>1</v>
      </c>
      <c r="B58" s="51">
        <v>2</v>
      </c>
      <c r="C58" s="397">
        <v>3</v>
      </c>
      <c r="D58" s="51">
        <v>4</v>
      </c>
      <c r="E58" s="51">
        <v>5</v>
      </c>
      <c r="F58" s="51">
        <v>6</v>
      </c>
      <c r="G58" s="51">
        <v>7</v>
      </c>
      <c r="H58" s="51">
        <v>8</v>
      </c>
      <c r="I58" s="51">
        <v>9</v>
      </c>
      <c r="J58" s="51">
        <v>10</v>
      </c>
      <c r="K58" s="51">
        <v>11</v>
      </c>
      <c r="L58" s="51">
        <v>12</v>
      </c>
      <c r="M58" s="51">
        <v>13</v>
      </c>
      <c r="N58" s="51">
        <v>14</v>
      </c>
      <c r="O58" s="51">
        <v>15</v>
      </c>
      <c r="P58" s="51">
        <v>16</v>
      </c>
      <c r="Q58" s="51">
        <v>17</v>
      </c>
      <c r="R58" s="51">
        <v>18</v>
      </c>
    </row>
    <row r="59" spans="1:18" ht="44.25" customHeight="1">
      <c r="A59" s="74">
        <v>1</v>
      </c>
      <c r="B59" s="53" t="s">
        <v>174</v>
      </c>
      <c r="C59" s="292">
        <v>1</v>
      </c>
      <c r="D59" s="55">
        <v>3414</v>
      </c>
      <c r="E59" s="55"/>
      <c r="F59" s="55"/>
      <c r="G59" s="55"/>
      <c r="H59" s="55"/>
      <c r="I59" s="55"/>
      <c r="J59" s="55"/>
      <c r="K59" s="55">
        <f>SUM(D59:J59)</f>
        <v>3414</v>
      </c>
      <c r="L59" s="55"/>
      <c r="M59" s="55"/>
      <c r="N59" s="55"/>
      <c r="O59" s="55">
        <f>K59*12%</f>
        <v>409.68</v>
      </c>
      <c r="P59" s="82"/>
      <c r="Q59" s="32">
        <f>SUM(K59:P59)*C59</f>
        <v>3823.68</v>
      </c>
      <c r="R59" s="56">
        <v>3</v>
      </c>
    </row>
    <row r="60" spans="1:18" ht="51" customHeight="1">
      <c r="A60" s="74">
        <v>2</v>
      </c>
      <c r="B60" s="53" t="s">
        <v>19</v>
      </c>
      <c r="C60" s="292">
        <v>1.5</v>
      </c>
      <c r="D60" s="55">
        <v>3674</v>
      </c>
      <c r="E60" s="55"/>
      <c r="F60" s="55"/>
      <c r="G60" s="55"/>
      <c r="H60" s="55"/>
      <c r="I60" s="55"/>
      <c r="J60" s="55"/>
      <c r="K60" s="55">
        <f>SUM(D60:J60)</f>
        <v>3674</v>
      </c>
      <c r="L60" s="55"/>
      <c r="M60" s="55"/>
      <c r="N60" s="55"/>
      <c r="O60" s="55">
        <f>K60*12%</f>
        <v>440.88</v>
      </c>
      <c r="P60" s="82"/>
      <c r="Q60" s="32">
        <f>SUM(K60:P60)*C60</f>
        <v>6172.32</v>
      </c>
      <c r="R60" s="56">
        <v>4</v>
      </c>
    </row>
    <row r="61" spans="1:18" ht="42.75" customHeight="1">
      <c r="A61" s="74">
        <v>3</v>
      </c>
      <c r="B61" s="53" t="s">
        <v>20</v>
      </c>
      <c r="C61" s="292">
        <v>1.5</v>
      </c>
      <c r="D61" s="55">
        <v>3153</v>
      </c>
      <c r="E61" s="55"/>
      <c r="F61" s="55"/>
      <c r="G61" s="55"/>
      <c r="H61" s="55"/>
      <c r="I61" s="55"/>
      <c r="J61" s="55"/>
      <c r="K61" s="55">
        <f>SUM(D61:J61)</f>
        <v>3153</v>
      </c>
      <c r="L61" s="55"/>
      <c r="M61" s="55"/>
      <c r="N61" s="55"/>
      <c r="O61" s="55"/>
      <c r="P61" s="82"/>
      <c r="Q61" s="32">
        <f>SUM(K61:P61)*C61</f>
        <v>4729.5</v>
      </c>
      <c r="R61" s="56">
        <v>2</v>
      </c>
    </row>
    <row r="62" spans="1:18" ht="29.25" customHeight="1">
      <c r="A62" s="441" t="s">
        <v>18</v>
      </c>
      <c r="B62" s="442"/>
      <c r="C62" s="301">
        <f>SUM(C59:C61)</f>
        <v>4</v>
      </c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3">
        <f>SUM(Q59:Q61)</f>
        <v>14725.5</v>
      </c>
      <c r="R62" s="56"/>
    </row>
    <row r="63" spans="1:18" ht="33.75" customHeight="1" hidden="1">
      <c r="A63" s="49"/>
      <c r="B63" s="49"/>
      <c r="C63" s="363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</row>
    <row r="64" spans="1:18" ht="33.75" customHeight="1" hidden="1">
      <c r="A64" s="49"/>
      <c r="B64" s="49"/>
      <c r="C64" s="363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</row>
    <row r="65" spans="1:18" ht="33.75" customHeight="1">
      <c r="A65" s="493" t="s">
        <v>184</v>
      </c>
      <c r="B65" s="494"/>
      <c r="C65" s="494"/>
      <c r="D65" s="494"/>
      <c r="E65" s="494"/>
      <c r="F65" s="494"/>
      <c r="G65" s="494"/>
      <c r="H65" s="494"/>
      <c r="I65" s="494"/>
      <c r="J65" s="494"/>
      <c r="K65" s="494"/>
      <c r="L65" s="494"/>
      <c r="M65" s="494"/>
      <c r="N65" s="494"/>
      <c r="O65" s="494"/>
      <c r="P65" s="494"/>
      <c r="Q65" s="494"/>
      <c r="R65" s="494"/>
    </row>
    <row r="66" spans="1:18" ht="32.25" customHeight="1">
      <c r="A66" s="78"/>
      <c r="B66" s="49"/>
      <c r="C66" s="363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1:18" ht="33.75" customHeight="1">
      <c r="A67" s="50">
        <v>1</v>
      </c>
      <c r="B67" s="51">
        <v>2</v>
      </c>
      <c r="C67" s="397">
        <v>3</v>
      </c>
      <c r="D67" s="51">
        <v>4</v>
      </c>
      <c r="E67" s="51">
        <v>5</v>
      </c>
      <c r="F67" s="51">
        <v>6</v>
      </c>
      <c r="G67" s="51">
        <v>7</v>
      </c>
      <c r="H67" s="51">
        <v>8</v>
      </c>
      <c r="I67" s="51">
        <v>9</v>
      </c>
      <c r="J67" s="51">
        <v>10</v>
      </c>
      <c r="K67" s="51">
        <v>11</v>
      </c>
      <c r="L67" s="51">
        <v>12</v>
      </c>
      <c r="M67" s="51">
        <v>13</v>
      </c>
      <c r="N67" s="51">
        <v>14</v>
      </c>
      <c r="O67" s="51">
        <v>15</v>
      </c>
      <c r="P67" s="51">
        <v>16</v>
      </c>
      <c r="Q67" s="51">
        <v>17</v>
      </c>
      <c r="R67" s="51">
        <v>18</v>
      </c>
    </row>
    <row r="68" spans="1:18" ht="48" customHeight="1">
      <c r="A68" s="52">
        <v>1</v>
      </c>
      <c r="B68" s="53" t="s">
        <v>21</v>
      </c>
      <c r="C68" s="292">
        <v>0.5</v>
      </c>
      <c r="D68" s="55">
        <v>4455</v>
      </c>
      <c r="E68" s="55"/>
      <c r="F68" s="55"/>
      <c r="G68" s="55"/>
      <c r="H68" s="55"/>
      <c r="I68" s="55"/>
      <c r="J68" s="55"/>
      <c r="K68" s="55">
        <f>SUM(D68:J68)</f>
        <v>4455</v>
      </c>
      <c r="L68" s="55"/>
      <c r="M68" s="55"/>
      <c r="N68" s="55"/>
      <c r="O68" s="55"/>
      <c r="P68" s="82"/>
      <c r="Q68" s="32">
        <f>SUM(K68:P68)*C68</f>
        <v>2227.5</v>
      </c>
      <c r="R68" s="73">
        <v>7</v>
      </c>
    </row>
    <row r="69" spans="1:18" ht="90.75" customHeight="1">
      <c r="A69" s="52">
        <v>2</v>
      </c>
      <c r="B69" s="53" t="s">
        <v>234</v>
      </c>
      <c r="C69" s="292">
        <v>1</v>
      </c>
      <c r="D69" s="55">
        <v>3674</v>
      </c>
      <c r="E69" s="55"/>
      <c r="F69" s="55"/>
      <c r="G69" s="55"/>
      <c r="H69" s="55"/>
      <c r="I69" s="55">
        <f aca="true" t="shared" si="4" ref="I69:I75">D69*20%</f>
        <v>734.8000000000001</v>
      </c>
      <c r="J69" s="55"/>
      <c r="K69" s="55">
        <f>SUM(D69:J69)</f>
        <v>4408.8</v>
      </c>
      <c r="L69" s="55"/>
      <c r="M69" s="69">
        <f>D69*25%</f>
        <v>918.5</v>
      </c>
      <c r="N69" s="55"/>
      <c r="O69" s="55"/>
      <c r="P69" s="82"/>
      <c r="Q69" s="32">
        <f>SUM(K69:P69)*C69</f>
        <v>5327.3</v>
      </c>
      <c r="R69" s="56">
        <v>4</v>
      </c>
    </row>
    <row r="70" spans="1:18" ht="44.25" customHeight="1">
      <c r="A70" s="52">
        <v>3</v>
      </c>
      <c r="B70" s="53" t="s">
        <v>235</v>
      </c>
      <c r="C70" s="292">
        <v>1</v>
      </c>
      <c r="D70" s="55">
        <v>3674</v>
      </c>
      <c r="E70" s="55"/>
      <c r="F70" s="55"/>
      <c r="G70" s="55"/>
      <c r="H70" s="55"/>
      <c r="I70" s="55">
        <f t="shared" si="4"/>
        <v>734.8000000000001</v>
      </c>
      <c r="J70" s="55"/>
      <c r="K70" s="55">
        <f aca="true" t="shared" si="5" ref="K70:K75">SUM(D70:J70)</f>
        <v>4408.8</v>
      </c>
      <c r="L70" s="55"/>
      <c r="M70" s="69">
        <f aca="true" t="shared" si="6" ref="M70:M75">D70*25%</f>
        <v>918.5</v>
      </c>
      <c r="N70" s="55"/>
      <c r="O70" s="55"/>
      <c r="P70" s="82"/>
      <c r="Q70" s="32">
        <f aca="true" t="shared" si="7" ref="Q70:Q75">SUM(K70:P70)*C70</f>
        <v>5327.3</v>
      </c>
      <c r="R70" s="56">
        <v>4</v>
      </c>
    </row>
    <row r="71" spans="1:18" ht="44.25" customHeight="1">
      <c r="A71" s="52">
        <v>4</v>
      </c>
      <c r="B71" s="53" t="s">
        <v>236</v>
      </c>
      <c r="C71" s="292">
        <v>1</v>
      </c>
      <c r="D71" s="55">
        <v>3674</v>
      </c>
      <c r="E71" s="55"/>
      <c r="F71" s="55"/>
      <c r="G71" s="55"/>
      <c r="H71" s="55"/>
      <c r="I71" s="55">
        <f t="shared" si="4"/>
        <v>734.8000000000001</v>
      </c>
      <c r="J71" s="55"/>
      <c r="K71" s="55">
        <f t="shared" si="5"/>
        <v>4408.8</v>
      </c>
      <c r="L71" s="55"/>
      <c r="M71" s="69">
        <f t="shared" si="6"/>
        <v>918.5</v>
      </c>
      <c r="N71" s="55"/>
      <c r="O71" s="55"/>
      <c r="P71" s="82"/>
      <c r="Q71" s="32">
        <f t="shared" si="7"/>
        <v>5327.3</v>
      </c>
      <c r="R71" s="56">
        <v>4</v>
      </c>
    </row>
    <row r="72" spans="1:18" ht="44.25" customHeight="1">
      <c r="A72" s="52">
        <v>5</v>
      </c>
      <c r="B72" s="53" t="s">
        <v>237</v>
      </c>
      <c r="C72" s="292">
        <v>1</v>
      </c>
      <c r="D72" s="55">
        <v>3674</v>
      </c>
      <c r="E72" s="55"/>
      <c r="F72" s="55"/>
      <c r="G72" s="55"/>
      <c r="H72" s="55"/>
      <c r="I72" s="55">
        <f t="shared" si="4"/>
        <v>734.8000000000001</v>
      </c>
      <c r="J72" s="55"/>
      <c r="K72" s="55">
        <f t="shared" si="5"/>
        <v>4408.8</v>
      </c>
      <c r="L72" s="55"/>
      <c r="M72" s="69">
        <f t="shared" si="6"/>
        <v>918.5</v>
      </c>
      <c r="N72" s="55"/>
      <c r="O72" s="55"/>
      <c r="P72" s="82"/>
      <c r="Q72" s="32">
        <f t="shared" si="7"/>
        <v>5327.3</v>
      </c>
      <c r="R72" s="56">
        <v>4</v>
      </c>
    </row>
    <row r="73" spans="1:18" ht="44.25" customHeight="1">
      <c r="A73" s="52">
        <v>6</v>
      </c>
      <c r="B73" s="53" t="s">
        <v>238</v>
      </c>
      <c r="C73" s="292">
        <v>1.5</v>
      </c>
      <c r="D73" s="55">
        <v>3153</v>
      </c>
      <c r="E73" s="55"/>
      <c r="F73" s="55"/>
      <c r="G73" s="55"/>
      <c r="H73" s="55"/>
      <c r="I73" s="55">
        <f t="shared" si="4"/>
        <v>630.6</v>
      </c>
      <c r="J73" s="55"/>
      <c r="K73" s="55">
        <f t="shared" si="5"/>
        <v>3783.6</v>
      </c>
      <c r="L73" s="55"/>
      <c r="M73" s="69">
        <f t="shared" si="6"/>
        <v>788.25</v>
      </c>
      <c r="N73" s="55"/>
      <c r="O73" s="55"/>
      <c r="P73" s="82"/>
      <c r="Q73" s="32">
        <f t="shared" si="7"/>
        <v>6857.775000000001</v>
      </c>
      <c r="R73" s="56">
        <v>2</v>
      </c>
    </row>
    <row r="74" spans="1:18" ht="44.25" customHeight="1">
      <c r="A74" s="52">
        <v>7</v>
      </c>
      <c r="B74" s="53" t="s">
        <v>239</v>
      </c>
      <c r="C74" s="292">
        <v>0.5</v>
      </c>
      <c r="D74" s="55">
        <v>3153</v>
      </c>
      <c r="E74" s="55"/>
      <c r="F74" s="55"/>
      <c r="G74" s="55"/>
      <c r="H74" s="55"/>
      <c r="I74" s="55">
        <f t="shared" si="4"/>
        <v>630.6</v>
      </c>
      <c r="J74" s="55"/>
      <c r="K74" s="55">
        <f t="shared" si="5"/>
        <v>3783.6</v>
      </c>
      <c r="L74" s="55"/>
      <c r="M74" s="69">
        <f t="shared" si="6"/>
        <v>788.25</v>
      </c>
      <c r="N74" s="55"/>
      <c r="O74" s="55"/>
      <c r="P74" s="82"/>
      <c r="Q74" s="32">
        <f t="shared" si="7"/>
        <v>2285.925</v>
      </c>
      <c r="R74" s="56">
        <v>2</v>
      </c>
    </row>
    <row r="75" spans="1:18" ht="44.25" customHeight="1">
      <c r="A75" s="52">
        <v>8</v>
      </c>
      <c r="B75" s="53" t="s">
        <v>240</v>
      </c>
      <c r="C75" s="292">
        <v>0.5</v>
      </c>
      <c r="D75" s="55">
        <v>3153</v>
      </c>
      <c r="E75" s="55"/>
      <c r="F75" s="55"/>
      <c r="G75" s="55"/>
      <c r="H75" s="55"/>
      <c r="I75" s="55">
        <f t="shared" si="4"/>
        <v>630.6</v>
      </c>
      <c r="J75" s="55"/>
      <c r="K75" s="55">
        <f t="shared" si="5"/>
        <v>3783.6</v>
      </c>
      <c r="L75" s="55"/>
      <c r="M75" s="69">
        <f t="shared" si="6"/>
        <v>788.25</v>
      </c>
      <c r="N75" s="55"/>
      <c r="O75" s="55"/>
      <c r="P75" s="82"/>
      <c r="Q75" s="32">
        <f t="shared" si="7"/>
        <v>2285.925</v>
      </c>
      <c r="R75" s="56">
        <v>2</v>
      </c>
    </row>
    <row r="76" spans="1:18" ht="93" customHeight="1">
      <c r="A76" s="415" t="s">
        <v>18</v>
      </c>
      <c r="B76" s="416"/>
      <c r="C76" s="293">
        <f>C68+C69+C70+C71+C72+C73+C74+C75</f>
        <v>7</v>
      </c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172">
        <f>Q68+Q69+Q70+Q71+Q72+Q73+Q74+Q75</f>
        <v>34966.325000000004</v>
      </c>
      <c r="R76" s="76"/>
    </row>
    <row r="77" spans="1:18" ht="33.75" customHeight="1" hidden="1">
      <c r="A77" s="49"/>
      <c r="B77" s="49"/>
      <c r="C77" s="363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  <row r="78" spans="1:18" ht="33.75" customHeight="1" hidden="1">
      <c r="A78" s="49"/>
      <c r="B78" s="49"/>
      <c r="C78" s="363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</row>
    <row r="79" spans="1:18" ht="33.75" customHeight="1" hidden="1">
      <c r="A79" s="49"/>
      <c r="B79" s="49"/>
      <c r="C79" s="363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18" ht="33.75" customHeight="1" hidden="1">
      <c r="A80" s="49"/>
      <c r="B80" s="49"/>
      <c r="C80" s="363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</row>
    <row r="81" spans="1:18" ht="33.75" customHeight="1" hidden="1">
      <c r="A81" s="49"/>
      <c r="B81" s="49"/>
      <c r="C81" s="363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</row>
    <row r="82" spans="1:18" ht="32.25" customHeight="1" hidden="1">
      <c r="A82" s="49"/>
      <c r="B82" s="49"/>
      <c r="C82" s="363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  <row r="83" spans="1:18" ht="11.25" customHeight="1" hidden="1">
      <c r="A83" s="49"/>
      <c r="B83" s="49"/>
      <c r="C83" s="363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</row>
    <row r="84" spans="1:18" ht="33.75" customHeight="1" hidden="1">
      <c r="A84" s="49"/>
      <c r="B84" s="49"/>
      <c r="C84" s="363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</row>
    <row r="85" spans="1:18" ht="33.75" customHeight="1" hidden="1">
      <c r="A85" s="49"/>
      <c r="B85" s="49"/>
      <c r="C85" s="363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</row>
    <row r="86" spans="1:18" ht="33.75" customHeight="1" hidden="1">
      <c r="A86" s="49"/>
      <c r="B86" s="49"/>
      <c r="C86" s="363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</row>
    <row r="87" spans="1:18" ht="33.75" customHeight="1" hidden="1">
      <c r="A87" s="49"/>
      <c r="B87" s="49"/>
      <c r="C87" s="363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</row>
    <row r="88" spans="1:18" ht="33.75" customHeight="1" hidden="1">
      <c r="A88" s="49"/>
      <c r="B88" s="49"/>
      <c r="C88" s="363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</row>
    <row r="89" spans="1:18" ht="33.75" customHeight="1" hidden="1">
      <c r="A89" s="49"/>
      <c r="B89" s="49"/>
      <c r="C89" s="363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</row>
    <row r="90" spans="1:18" ht="37.5" hidden="1">
      <c r="A90" s="49"/>
      <c r="B90" s="49"/>
      <c r="C90" s="363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</row>
    <row r="91" spans="1:18" ht="37.5" hidden="1">
      <c r="A91" s="49"/>
      <c r="B91" s="49"/>
      <c r="C91" s="363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</row>
    <row r="92" spans="1:18" ht="37.5" hidden="1">
      <c r="A92" s="49"/>
      <c r="B92" s="49"/>
      <c r="C92" s="363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</row>
    <row r="93" spans="1:18" ht="37.5" hidden="1">
      <c r="A93" s="49"/>
      <c r="B93" s="49"/>
      <c r="C93" s="36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</row>
    <row r="94" spans="1:18" ht="4.5" customHeight="1" hidden="1">
      <c r="A94" s="49"/>
      <c r="B94" s="49"/>
      <c r="C94" s="363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8" ht="39.75" customHeight="1" hidden="1">
      <c r="A95" s="49"/>
      <c r="B95" s="49"/>
      <c r="C95" s="363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</row>
    <row r="96" spans="1:18" ht="78.75" customHeight="1">
      <c r="A96" s="49"/>
      <c r="B96" s="49"/>
      <c r="C96" s="363"/>
      <c r="D96" s="49"/>
      <c r="E96" s="49"/>
      <c r="F96" s="49"/>
      <c r="G96" s="84" t="s">
        <v>110</v>
      </c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</row>
    <row r="97" spans="1:18" ht="36" customHeight="1">
      <c r="A97" s="472" t="s">
        <v>1</v>
      </c>
      <c r="B97" s="472" t="s">
        <v>2</v>
      </c>
      <c r="C97" s="483" t="s">
        <v>3</v>
      </c>
      <c r="D97" s="472" t="s">
        <v>12</v>
      </c>
      <c r="E97" s="480" t="s">
        <v>101</v>
      </c>
      <c r="F97" s="481"/>
      <c r="G97" s="481"/>
      <c r="H97" s="481"/>
      <c r="I97" s="481"/>
      <c r="J97" s="482"/>
      <c r="K97" s="472" t="s">
        <v>102</v>
      </c>
      <c r="L97" s="480" t="s">
        <v>103</v>
      </c>
      <c r="M97" s="481"/>
      <c r="N97" s="481"/>
      <c r="O97" s="478" t="s">
        <v>106</v>
      </c>
      <c r="P97" s="478"/>
      <c r="Q97" s="472" t="s">
        <v>4</v>
      </c>
      <c r="R97" s="472" t="s">
        <v>5</v>
      </c>
    </row>
    <row r="98" spans="1:18" ht="166.5" customHeight="1">
      <c r="A98" s="473"/>
      <c r="B98" s="473"/>
      <c r="C98" s="484"/>
      <c r="D98" s="473"/>
      <c r="E98" s="259" t="s">
        <v>6</v>
      </c>
      <c r="F98" s="259" t="s">
        <v>119</v>
      </c>
      <c r="G98" s="259" t="s">
        <v>7</v>
      </c>
      <c r="H98" s="259" t="s">
        <v>8</v>
      </c>
      <c r="I98" s="259" t="s">
        <v>118</v>
      </c>
      <c r="J98" s="259" t="s">
        <v>10</v>
      </c>
      <c r="K98" s="477"/>
      <c r="L98" s="259" t="s">
        <v>104</v>
      </c>
      <c r="M98" s="259" t="s">
        <v>105</v>
      </c>
      <c r="N98" s="259" t="s">
        <v>97</v>
      </c>
      <c r="O98" s="259" t="s">
        <v>107</v>
      </c>
      <c r="P98" s="259" t="s">
        <v>176</v>
      </c>
      <c r="Q98" s="473"/>
      <c r="R98" s="473"/>
    </row>
    <row r="99" spans="1:18" ht="67.5" customHeight="1">
      <c r="A99" s="74">
        <v>1</v>
      </c>
      <c r="B99" s="85">
        <v>2</v>
      </c>
      <c r="C99" s="398">
        <v>3</v>
      </c>
      <c r="D99" s="85">
        <v>4</v>
      </c>
      <c r="E99" s="85">
        <v>5</v>
      </c>
      <c r="F99" s="85">
        <v>6</v>
      </c>
      <c r="G99" s="85">
        <v>7</v>
      </c>
      <c r="H99" s="85">
        <v>8</v>
      </c>
      <c r="I99" s="85">
        <v>9</v>
      </c>
      <c r="J99" s="85">
        <v>10</v>
      </c>
      <c r="K99" s="85">
        <v>11</v>
      </c>
      <c r="L99" s="85">
        <v>12</v>
      </c>
      <c r="M99" s="85">
        <v>13</v>
      </c>
      <c r="N99" s="85">
        <v>14</v>
      </c>
      <c r="O99" s="85">
        <v>15</v>
      </c>
      <c r="P99" s="85">
        <v>16</v>
      </c>
      <c r="Q99" s="85">
        <v>17</v>
      </c>
      <c r="R99" s="85">
        <v>18</v>
      </c>
    </row>
    <row r="100" spans="1:18" ht="42.75" customHeight="1">
      <c r="A100" s="37">
        <v>1</v>
      </c>
      <c r="B100" s="87" t="s">
        <v>26</v>
      </c>
      <c r="C100" s="326">
        <v>1</v>
      </c>
      <c r="D100" s="310">
        <v>30540</v>
      </c>
      <c r="E100" s="88"/>
      <c r="F100" s="88"/>
      <c r="G100" s="88"/>
      <c r="H100" s="88"/>
      <c r="I100" s="88"/>
      <c r="J100" s="88"/>
      <c r="K100" s="31">
        <f aca="true" t="shared" si="8" ref="K100:K109">SUM(D100:J100)</f>
        <v>30540</v>
      </c>
      <c r="L100" s="31"/>
      <c r="M100" s="89"/>
      <c r="N100" s="88"/>
      <c r="O100" s="88"/>
      <c r="P100" s="88"/>
      <c r="Q100" s="32">
        <f aca="true" t="shared" si="9" ref="Q100:Q109">SUM(K100:P100)*C100</f>
        <v>30540</v>
      </c>
      <c r="R100" s="65" t="s">
        <v>74</v>
      </c>
    </row>
    <row r="101" spans="1:18" ht="41.25" customHeight="1">
      <c r="A101" s="37">
        <v>2</v>
      </c>
      <c r="B101" s="53" t="s">
        <v>27</v>
      </c>
      <c r="C101" s="292">
        <v>1</v>
      </c>
      <c r="D101" s="90">
        <v>5265</v>
      </c>
      <c r="E101" s="55"/>
      <c r="F101" s="88"/>
      <c r="G101" s="55"/>
      <c r="H101" s="55"/>
      <c r="I101" s="55"/>
      <c r="J101" s="55"/>
      <c r="K101" s="31">
        <f t="shared" si="8"/>
        <v>5265</v>
      </c>
      <c r="L101" s="55"/>
      <c r="M101" s="55"/>
      <c r="N101" s="55"/>
      <c r="O101" s="55"/>
      <c r="P101" s="55"/>
      <c r="Q101" s="32">
        <f t="shared" si="9"/>
        <v>5265</v>
      </c>
      <c r="R101" s="56">
        <v>10</v>
      </c>
    </row>
    <row r="102" spans="1:18" ht="45.75" customHeight="1">
      <c r="A102" s="37">
        <v>3</v>
      </c>
      <c r="B102" s="53" t="s">
        <v>130</v>
      </c>
      <c r="C102" s="292">
        <v>0.5</v>
      </c>
      <c r="D102" s="90">
        <v>5265</v>
      </c>
      <c r="E102" s="55"/>
      <c r="F102" s="88"/>
      <c r="G102" s="55"/>
      <c r="H102" s="55"/>
      <c r="I102" s="55"/>
      <c r="J102" s="55"/>
      <c r="K102" s="31">
        <f t="shared" si="8"/>
        <v>5265</v>
      </c>
      <c r="L102" s="55"/>
      <c r="M102" s="55"/>
      <c r="N102" s="55"/>
      <c r="O102" s="55"/>
      <c r="P102" s="55"/>
      <c r="Q102" s="32">
        <f t="shared" si="9"/>
        <v>2632.5</v>
      </c>
      <c r="R102" s="56">
        <v>10</v>
      </c>
    </row>
    <row r="103" spans="1:18" ht="57.75" customHeight="1">
      <c r="A103" s="37">
        <v>4</v>
      </c>
      <c r="B103" s="291" t="s">
        <v>111</v>
      </c>
      <c r="C103" s="292">
        <v>0.5</v>
      </c>
      <c r="D103" s="90">
        <v>5005</v>
      </c>
      <c r="E103" s="55"/>
      <c r="F103" s="88"/>
      <c r="G103" s="55"/>
      <c r="H103" s="55"/>
      <c r="I103" s="55"/>
      <c r="J103" s="55"/>
      <c r="K103" s="31">
        <f t="shared" si="8"/>
        <v>5005</v>
      </c>
      <c r="L103" s="55"/>
      <c r="M103" s="55"/>
      <c r="N103" s="55"/>
      <c r="O103" s="55"/>
      <c r="P103" s="55"/>
      <c r="Q103" s="32">
        <f t="shared" si="9"/>
        <v>2502.5</v>
      </c>
      <c r="R103" s="56">
        <v>9</v>
      </c>
    </row>
    <row r="104" spans="1:18" ht="38.25">
      <c r="A104" s="37">
        <v>5</v>
      </c>
      <c r="B104" s="291" t="s">
        <v>189</v>
      </c>
      <c r="C104" s="292">
        <v>0.5</v>
      </c>
      <c r="D104" s="90">
        <v>5005</v>
      </c>
      <c r="E104" s="55"/>
      <c r="F104" s="88"/>
      <c r="G104" s="55"/>
      <c r="H104" s="55"/>
      <c r="I104" s="55"/>
      <c r="J104" s="55"/>
      <c r="K104" s="31">
        <f t="shared" si="8"/>
        <v>5005</v>
      </c>
      <c r="L104" s="55"/>
      <c r="M104" s="55"/>
      <c r="N104" s="55"/>
      <c r="O104" s="55"/>
      <c r="P104" s="55"/>
      <c r="Q104" s="32">
        <f t="shared" si="9"/>
        <v>2502.5</v>
      </c>
      <c r="R104" s="56">
        <v>9</v>
      </c>
    </row>
    <row r="105" spans="1:18" ht="43.5" customHeight="1">
      <c r="A105" s="37">
        <v>6</v>
      </c>
      <c r="B105" s="290" t="s">
        <v>112</v>
      </c>
      <c r="C105" s="292">
        <v>0.5</v>
      </c>
      <c r="D105" s="90">
        <v>5005</v>
      </c>
      <c r="E105" s="55"/>
      <c r="F105" s="88"/>
      <c r="G105" s="55"/>
      <c r="H105" s="55"/>
      <c r="I105" s="55"/>
      <c r="J105" s="55"/>
      <c r="K105" s="31">
        <f t="shared" si="8"/>
        <v>5005</v>
      </c>
      <c r="L105" s="55"/>
      <c r="M105" s="55"/>
      <c r="N105" s="55"/>
      <c r="O105" s="55"/>
      <c r="P105" s="55"/>
      <c r="Q105" s="32">
        <f t="shared" si="9"/>
        <v>2502.5</v>
      </c>
      <c r="R105" s="56">
        <v>9</v>
      </c>
    </row>
    <row r="106" spans="1:18" ht="66">
      <c r="A106" s="37">
        <v>7</v>
      </c>
      <c r="B106" s="290" t="s">
        <v>113</v>
      </c>
      <c r="C106" s="292">
        <v>0.5</v>
      </c>
      <c r="D106" s="90">
        <v>5005</v>
      </c>
      <c r="E106" s="55"/>
      <c r="F106" s="88"/>
      <c r="G106" s="55"/>
      <c r="H106" s="55"/>
      <c r="I106" s="55"/>
      <c r="J106" s="55"/>
      <c r="K106" s="31">
        <f t="shared" si="8"/>
        <v>5005</v>
      </c>
      <c r="L106" s="55"/>
      <c r="M106" s="55"/>
      <c r="N106" s="55"/>
      <c r="O106" s="55"/>
      <c r="P106" s="55"/>
      <c r="Q106" s="32">
        <f t="shared" si="9"/>
        <v>2502.5</v>
      </c>
      <c r="R106" s="56">
        <v>9</v>
      </c>
    </row>
    <row r="107" spans="1:18" ht="72" customHeight="1">
      <c r="A107" s="37">
        <v>8</v>
      </c>
      <c r="B107" s="290" t="s">
        <v>114</v>
      </c>
      <c r="C107" s="292">
        <v>1.5</v>
      </c>
      <c r="D107" s="90">
        <v>5005</v>
      </c>
      <c r="E107" s="55"/>
      <c r="F107" s="88"/>
      <c r="G107" s="55"/>
      <c r="H107" s="55"/>
      <c r="I107" s="55"/>
      <c r="J107" s="55"/>
      <c r="K107" s="31">
        <f t="shared" si="8"/>
        <v>5005</v>
      </c>
      <c r="L107" s="55"/>
      <c r="M107" s="55"/>
      <c r="N107" s="55"/>
      <c r="O107" s="55"/>
      <c r="P107" s="55"/>
      <c r="Q107" s="32">
        <f t="shared" si="9"/>
        <v>7507.5</v>
      </c>
      <c r="R107" s="56">
        <v>9</v>
      </c>
    </row>
    <row r="108" spans="1:18" ht="47.25" customHeight="1">
      <c r="A108" s="37">
        <v>9</v>
      </c>
      <c r="B108" s="291" t="s">
        <v>115</v>
      </c>
      <c r="C108" s="292">
        <v>0.5</v>
      </c>
      <c r="D108" s="90">
        <v>5005</v>
      </c>
      <c r="E108" s="55"/>
      <c r="F108" s="88"/>
      <c r="G108" s="55"/>
      <c r="H108" s="55"/>
      <c r="I108" s="55"/>
      <c r="J108" s="55"/>
      <c r="K108" s="31">
        <f t="shared" si="8"/>
        <v>5005</v>
      </c>
      <c r="L108" s="55"/>
      <c r="M108" s="55"/>
      <c r="N108" s="55"/>
      <c r="O108" s="55"/>
      <c r="P108" s="55"/>
      <c r="Q108" s="32">
        <f t="shared" si="9"/>
        <v>2502.5</v>
      </c>
      <c r="R108" s="56">
        <v>9</v>
      </c>
    </row>
    <row r="109" spans="1:18" ht="39.75" customHeight="1">
      <c r="A109" s="37">
        <v>10</v>
      </c>
      <c r="B109" s="311" t="s">
        <v>215</v>
      </c>
      <c r="C109" s="375">
        <v>1</v>
      </c>
      <c r="D109" s="81">
        <v>3674</v>
      </c>
      <c r="E109" s="314"/>
      <c r="F109" s="88"/>
      <c r="G109" s="314"/>
      <c r="H109" s="314"/>
      <c r="I109" s="314"/>
      <c r="J109" s="314"/>
      <c r="K109" s="81">
        <f t="shared" si="8"/>
        <v>3674</v>
      </c>
      <c r="L109" s="314"/>
      <c r="M109" s="314"/>
      <c r="N109" s="314"/>
      <c r="O109" s="314"/>
      <c r="P109" s="314"/>
      <c r="Q109" s="81">
        <f t="shared" si="9"/>
        <v>3674</v>
      </c>
      <c r="R109" s="313">
        <v>4</v>
      </c>
    </row>
    <row r="110" spans="1:18" ht="33.75" customHeight="1">
      <c r="A110" s="415" t="s">
        <v>18</v>
      </c>
      <c r="B110" s="416"/>
      <c r="C110" s="293">
        <f>SUM(C100:C109)</f>
        <v>7.5</v>
      </c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312">
        <f>SUM(Q100:Q109)</f>
        <v>62131.5</v>
      </c>
      <c r="R110" s="76"/>
    </row>
    <row r="111" spans="1:18" ht="39.75" customHeight="1">
      <c r="A111" s="91" t="s">
        <v>183</v>
      </c>
      <c r="B111" s="92"/>
      <c r="C111" s="297">
        <f>SUM(C100:C109)</f>
        <v>7.5</v>
      </c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46" t="s">
        <v>28</v>
      </c>
      <c r="P111" s="45"/>
      <c r="Q111" s="93">
        <f>Q110</f>
        <v>62131.5</v>
      </c>
      <c r="R111" s="49"/>
    </row>
    <row r="112" spans="1:18" ht="3" customHeight="1">
      <c r="A112" s="92"/>
      <c r="B112" s="92"/>
      <c r="C112" s="364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</row>
    <row r="113" spans="1:18" ht="39.75" customHeight="1">
      <c r="A113" s="92"/>
      <c r="B113" s="489" t="s">
        <v>98</v>
      </c>
      <c r="C113" s="490"/>
      <c r="D113" s="346">
        <f>C21</f>
        <v>6</v>
      </c>
      <c r="E113" s="347"/>
      <c r="F113" s="347"/>
      <c r="G113" s="347"/>
      <c r="H113" s="347"/>
      <c r="I113" s="347"/>
      <c r="J113" s="347"/>
      <c r="K113" s="347"/>
      <c r="L113" s="347"/>
      <c r="M113" s="347"/>
      <c r="N113" s="347"/>
      <c r="O113" s="347"/>
      <c r="P113" s="347"/>
      <c r="Q113" s="348">
        <f>Q21</f>
        <v>89720</v>
      </c>
      <c r="R113" s="345"/>
    </row>
    <row r="114" spans="1:18" ht="39.75" customHeight="1">
      <c r="A114" s="97"/>
      <c r="B114" s="491" t="s">
        <v>23</v>
      </c>
      <c r="C114" s="491"/>
      <c r="D114" s="346">
        <f>C47+C54+C62+C111+C76</f>
        <v>41.5</v>
      </c>
      <c r="E114" s="347"/>
      <c r="F114" s="347"/>
      <c r="G114" s="347"/>
      <c r="H114" s="349"/>
      <c r="I114" s="347"/>
      <c r="J114" s="347"/>
      <c r="K114" s="347"/>
      <c r="L114" s="347"/>
      <c r="M114" s="347"/>
      <c r="N114" s="347"/>
      <c r="O114" s="347"/>
      <c r="P114" s="349"/>
      <c r="Q114" s="350">
        <f>SUM(Q47+Q54+Q62+Q76+Q111)</f>
        <v>200150.519</v>
      </c>
      <c r="R114" s="345"/>
    </row>
    <row r="115" spans="1:18" ht="39.75" customHeight="1">
      <c r="A115" s="97"/>
      <c r="B115" s="492" t="s">
        <v>24</v>
      </c>
      <c r="C115" s="492"/>
      <c r="D115" s="346">
        <f>D113+D114</f>
        <v>47.5</v>
      </c>
      <c r="E115" s="347"/>
      <c r="F115" s="347"/>
      <c r="G115" s="347"/>
      <c r="H115" s="347"/>
      <c r="I115" s="347"/>
      <c r="J115" s="347"/>
      <c r="K115" s="347"/>
      <c r="L115" s="347"/>
      <c r="M115" s="349"/>
      <c r="N115" s="347"/>
      <c r="O115" s="347"/>
      <c r="P115" s="347"/>
      <c r="Q115" s="351">
        <f>Q113+Q114</f>
        <v>289870.519</v>
      </c>
      <c r="R115" s="345"/>
    </row>
    <row r="116" spans="1:18" ht="39.75" customHeight="1">
      <c r="A116" s="97" t="s">
        <v>22</v>
      </c>
      <c r="B116" s="352"/>
      <c r="C116" s="365"/>
      <c r="D116" s="352"/>
      <c r="E116" s="352"/>
      <c r="F116" s="352"/>
      <c r="G116" s="352"/>
      <c r="H116" s="352"/>
      <c r="I116" s="352"/>
      <c r="J116" s="352"/>
      <c r="K116" s="352"/>
      <c r="L116" s="352"/>
      <c r="M116" s="352"/>
      <c r="N116" s="352"/>
      <c r="O116" s="352"/>
      <c r="P116" s="352"/>
      <c r="Q116" s="352"/>
      <c r="R116" s="92"/>
    </row>
    <row r="117" spans="1:18" ht="39">
      <c r="A117" s="49"/>
      <c r="B117" s="49"/>
      <c r="C117" s="363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</row>
    <row r="118" spans="1:18" ht="51" customHeight="1">
      <c r="A118" s="475" t="s">
        <v>1</v>
      </c>
      <c r="B118" s="475" t="s">
        <v>2</v>
      </c>
      <c r="C118" s="485" t="s">
        <v>3</v>
      </c>
      <c r="D118" s="475" t="s">
        <v>25</v>
      </c>
      <c r="E118" s="480" t="s">
        <v>101</v>
      </c>
      <c r="F118" s="481"/>
      <c r="G118" s="481"/>
      <c r="H118" s="481"/>
      <c r="I118" s="481"/>
      <c r="J118" s="482"/>
      <c r="K118" s="472" t="s">
        <v>102</v>
      </c>
      <c r="L118" s="478" t="s">
        <v>103</v>
      </c>
      <c r="M118" s="478"/>
      <c r="N118" s="478"/>
      <c r="O118" s="478" t="s">
        <v>106</v>
      </c>
      <c r="P118" s="478"/>
      <c r="Q118" s="472" t="s">
        <v>4</v>
      </c>
      <c r="R118" s="472" t="s">
        <v>29</v>
      </c>
    </row>
    <row r="119" spans="1:18" ht="76.5" customHeight="1">
      <c r="A119" s="476"/>
      <c r="B119" s="476"/>
      <c r="C119" s="486"/>
      <c r="D119" s="476"/>
      <c r="E119" s="472" t="s">
        <v>180</v>
      </c>
      <c r="F119" s="472" t="s">
        <v>108</v>
      </c>
      <c r="G119" s="261" t="s">
        <v>7</v>
      </c>
      <c r="H119" s="472" t="s">
        <v>8</v>
      </c>
      <c r="I119" s="472" t="s">
        <v>9</v>
      </c>
      <c r="J119" s="472" t="s">
        <v>10</v>
      </c>
      <c r="K119" s="479"/>
      <c r="L119" s="472" t="s">
        <v>104</v>
      </c>
      <c r="M119" s="472" t="s">
        <v>105</v>
      </c>
      <c r="N119" s="472" t="s">
        <v>97</v>
      </c>
      <c r="O119" s="472" t="s">
        <v>107</v>
      </c>
      <c r="P119" s="472" t="s">
        <v>176</v>
      </c>
      <c r="Q119" s="479"/>
      <c r="R119" s="479"/>
    </row>
    <row r="120" spans="1:18" ht="92.25" customHeight="1">
      <c r="A120" s="477"/>
      <c r="B120" s="477"/>
      <c r="C120" s="487"/>
      <c r="D120" s="477"/>
      <c r="E120" s="473"/>
      <c r="F120" s="473"/>
      <c r="G120" s="262"/>
      <c r="H120" s="473"/>
      <c r="I120" s="473"/>
      <c r="J120" s="473"/>
      <c r="K120" s="473"/>
      <c r="L120" s="473"/>
      <c r="M120" s="473"/>
      <c r="N120" s="473"/>
      <c r="O120" s="473"/>
      <c r="P120" s="473"/>
      <c r="Q120" s="473"/>
      <c r="R120" s="473"/>
    </row>
    <row r="121" spans="1:18" ht="30.75">
      <c r="A121" s="260">
        <v>1</v>
      </c>
      <c r="B121" s="263">
        <v>2</v>
      </c>
      <c r="C121" s="399">
        <v>3</v>
      </c>
      <c r="D121" s="263">
        <v>4</v>
      </c>
      <c r="E121" s="263">
        <v>5</v>
      </c>
      <c r="F121" s="263">
        <v>6</v>
      </c>
      <c r="G121" s="263">
        <v>7</v>
      </c>
      <c r="H121" s="263">
        <v>8</v>
      </c>
      <c r="I121" s="263">
        <v>9</v>
      </c>
      <c r="J121" s="263">
        <v>10</v>
      </c>
      <c r="K121" s="263">
        <v>11</v>
      </c>
      <c r="L121" s="263">
        <v>12</v>
      </c>
      <c r="M121" s="263">
        <v>13</v>
      </c>
      <c r="N121" s="263">
        <v>14</v>
      </c>
      <c r="O121" s="263">
        <v>15</v>
      </c>
      <c r="P121" s="263">
        <v>16</v>
      </c>
      <c r="Q121" s="263">
        <v>17</v>
      </c>
      <c r="R121" s="263">
        <v>18</v>
      </c>
    </row>
    <row r="122" spans="1:18" ht="37.5">
      <c r="A122" s="474" t="s">
        <v>82</v>
      </c>
      <c r="B122" s="474"/>
      <c r="C122" s="474"/>
      <c r="D122" s="474"/>
      <c r="E122" s="474"/>
      <c r="F122" s="474"/>
      <c r="G122" s="474"/>
      <c r="H122" s="474"/>
      <c r="I122" s="474"/>
      <c r="J122" s="474"/>
      <c r="K122" s="474"/>
      <c r="L122" s="474"/>
      <c r="M122" s="474"/>
      <c r="N122" s="474"/>
      <c r="O122" s="474"/>
      <c r="P122" s="474"/>
      <c r="Q122" s="474"/>
      <c r="R122" s="474"/>
    </row>
    <row r="123" spans="1:18" ht="39">
      <c r="A123" s="100"/>
      <c r="B123" s="49"/>
      <c r="C123" s="363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</row>
    <row r="124" spans="1:18" ht="0.75" customHeight="1">
      <c r="A124" s="30"/>
      <c r="B124" s="87"/>
      <c r="C124" s="326"/>
      <c r="D124" s="65"/>
      <c r="E124" s="101"/>
      <c r="F124" s="101"/>
      <c r="G124" s="102"/>
      <c r="H124" s="101"/>
      <c r="I124" s="101"/>
      <c r="J124" s="103"/>
      <c r="K124" s="103"/>
      <c r="L124" s="101"/>
      <c r="M124" s="101"/>
      <c r="N124" s="101"/>
      <c r="O124" s="101"/>
      <c r="P124" s="101"/>
      <c r="Q124" s="104"/>
      <c r="R124" s="65"/>
    </row>
    <row r="125" spans="1:18" ht="75" customHeight="1">
      <c r="A125" s="37">
        <v>1</v>
      </c>
      <c r="B125" s="395" t="s">
        <v>247</v>
      </c>
      <c r="C125" s="299">
        <v>1</v>
      </c>
      <c r="D125" s="31">
        <v>5699</v>
      </c>
      <c r="E125" s="107"/>
      <c r="F125" s="88"/>
      <c r="G125" s="309">
        <v>818.72</v>
      </c>
      <c r="H125" s="107"/>
      <c r="I125" s="107"/>
      <c r="J125" s="107">
        <f>(D125+G125)*15%</f>
        <v>977.658</v>
      </c>
      <c r="K125" s="55">
        <f aca="true" t="shared" si="10" ref="K125:K133">SUM(D125:J125)</f>
        <v>7495.378000000001</v>
      </c>
      <c r="L125" s="107"/>
      <c r="M125" s="107"/>
      <c r="N125" s="107">
        <f>K125*0.3</f>
        <v>2248.6134</v>
      </c>
      <c r="O125" s="107"/>
      <c r="P125" s="101"/>
      <c r="Q125" s="32">
        <f aca="true" t="shared" si="11" ref="Q125:Q133">SUM(K125:P125)*C125</f>
        <v>9743.9914</v>
      </c>
      <c r="R125" s="40">
        <v>11</v>
      </c>
    </row>
    <row r="126" spans="1:18" ht="75" customHeight="1">
      <c r="A126" s="37">
        <v>2</v>
      </c>
      <c r="B126" s="395" t="s">
        <v>151</v>
      </c>
      <c r="C126" s="299">
        <v>1</v>
      </c>
      <c r="D126" s="31">
        <v>5005</v>
      </c>
      <c r="E126" s="107"/>
      <c r="F126" s="88"/>
      <c r="G126" s="107"/>
      <c r="H126" s="107"/>
      <c r="I126" s="107"/>
      <c r="J126" s="107"/>
      <c r="K126" s="55">
        <f t="shared" si="10"/>
        <v>5005</v>
      </c>
      <c r="L126" s="107"/>
      <c r="M126" s="107"/>
      <c r="N126" s="107">
        <f>K126*0.3</f>
        <v>1501.5</v>
      </c>
      <c r="O126" s="107"/>
      <c r="P126" s="101"/>
      <c r="Q126" s="32">
        <f t="shared" si="11"/>
        <v>6506.5</v>
      </c>
      <c r="R126" s="40">
        <v>9</v>
      </c>
    </row>
    <row r="127" spans="1:18" ht="75" customHeight="1">
      <c r="A127" s="37">
        <v>3</v>
      </c>
      <c r="B127" s="30" t="s">
        <v>217</v>
      </c>
      <c r="C127" s="299">
        <v>0.75</v>
      </c>
      <c r="D127" s="32">
        <v>5005</v>
      </c>
      <c r="E127" s="32"/>
      <c r="F127" s="88"/>
      <c r="G127" s="32"/>
      <c r="H127" s="32"/>
      <c r="I127" s="32" t="s">
        <v>245</v>
      </c>
      <c r="J127" s="32"/>
      <c r="K127" s="55">
        <f t="shared" si="10"/>
        <v>5005</v>
      </c>
      <c r="L127" s="32"/>
      <c r="M127" s="32"/>
      <c r="N127" s="32">
        <f>K127*30%</f>
        <v>1501.5</v>
      </c>
      <c r="O127" s="32"/>
      <c r="P127" s="101"/>
      <c r="Q127" s="32">
        <f t="shared" si="11"/>
        <v>4879.875</v>
      </c>
      <c r="R127" s="40">
        <v>9</v>
      </c>
    </row>
    <row r="128" spans="1:18" s="8" customFormat="1" ht="75" customHeight="1">
      <c r="A128" s="37">
        <v>4</v>
      </c>
      <c r="B128" s="30" t="s">
        <v>244</v>
      </c>
      <c r="C128" s="299">
        <v>0.75</v>
      </c>
      <c r="D128" s="32">
        <v>4745</v>
      </c>
      <c r="E128" s="32"/>
      <c r="F128" s="88"/>
      <c r="G128" s="32"/>
      <c r="H128" s="32"/>
      <c r="I128" s="32"/>
      <c r="J128" s="32"/>
      <c r="K128" s="55">
        <f t="shared" si="10"/>
        <v>4745</v>
      </c>
      <c r="L128" s="32"/>
      <c r="M128" s="32"/>
      <c r="N128" s="32">
        <f>K128*30%</f>
        <v>1423.5</v>
      </c>
      <c r="O128" s="32"/>
      <c r="P128" s="101"/>
      <c r="Q128" s="32">
        <f t="shared" si="11"/>
        <v>4626.375</v>
      </c>
      <c r="R128" s="40">
        <v>8</v>
      </c>
    </row>
    <row r="129" spans="1:18" ht="72.75" customHeight="1">
      <c r="A129" s="37">
        <v>5</v>
      </c>
      <c r="B129" s="30" t="s">
        <v>152</v>
      </c>
      <c r="C129" s="299">
        <v>0.5</v>
      </c>
      <c r="D129" s="32">
        <v>5265</v>
      </c>
      <c r="E129" s="32"/>
      <c r="F129" s="88"/>
      <c r="G129" s="32"/>
      <c r="H129" s="31">
        <f>D129*15%</f>
        <v>789.75</v>
      </c>
      <c r="I129" s="32"/>
      <c r="J129" s="32"/>
      <c r="K129" s="55">
        <f t="shared" si="10"/>
        <v>6054.75</v>
      </c>
      <c r="L129" s="32"/>
      <c r="M129" s="32"/>
      <c r="N129" s="32">
        <f>K129*30%</f>
        <v>1816.425</v>
      </c>
      <c r="O129" s="32"/>
      <c r="P129" s="101"/>
      <c r="Q129" s="32">
        <f t="shared" si="11"/>
        <v>3935.5875</v>
      </c>
      <c r="R129" s="40">
        <v>10</v>
      </c>
    </row>
    <row r="130" spans="1:18" ht="37.5" customHeight="1">
      <c r="A130" s="37">
        <v>6</v>
      </c>
      <c r="B130" s="30" t="s">
        <v>127</v>
      </c>
      <c r="C130" s="299">
        <v>1.5</v>
      </c>
      <c r="D130" s="32">
        <v>5265</v>
      </c>
      <c r="E130" s="32"/>
      <c r="F130" s="88"/>
      <c r="G130" s="32"/>
      <c r="H130" s="31"/>
      <c r="I130" s="32"/>
      <c r="J130" s="32"/>
      <c r="K130" s="55">
        <f>D130*C130</f>
        <v>7897.5</v>
      </c>
      <c r="L130" s="32"/>
      <c r="M130" s="32"/>
      <c r="N130" s="32"/>
      <c r="O130" s="32"/>
      <c r="P130" s="36"/>
      <c r="Q130" s="32">
        <f>K130</f>
        <v>7897.5</v>
      </c>
      <c r="R130" s="40">
        <v>10</v>
      </c>
    </row>
    <row r="131" spans="1:18" ht="40.5" customHeight="1">
      <c r="A131" s="37">
        <v>7</v>
      </c>
      <c r="B131" s="30" t="s">
        <v>30</v>
      </c>
      <c r="C131" s="299">
        <v>0.25</v>
      </c>
      <c r="D131" s="32">
        <v>3674</v>
      </c>
      <c r="E131" s="32"/>
      <c r="F131" s="88"/>
      <c r="G131" s="32"/>
      <c r="H131" s="32"/>
      <c r="I131" s="32"/>
      <c r="J131" s="32"/>
      <c r="K131" s="55">
        <f t="shared" si="10"/>
        <v>3674</v>
      </c>
      <c r="L131" s="32"/>
      <c r="M131" s="32"/>
      <c r="N131" s="32"/>
      <c r="O131" s="32">
        <f>D131*12%</f>
        <v>440.88</v>
      </c>
      <c r="P131" s="36"/>
      <c r="Q131" s="32">
        <f t="shared" si="11"/>
        <v>1028.72</v>
      </c>
      <c r="R131" s="40">
        <v>4</v>
      </c>
    </row>
    <row r="132" spans="1:18" ht="93.75" customHeight="1">
      <c r="A132" s="37">
        <v>8</v>
      </c>
      <c r="B132" s="30" t="s">
        <v>89</v>
      </c>
      <c r="C132" s="299">
        <v>0.5</v>
      </c>
      <c r="D132" s="32">
        <v>3153</v>
      </c>
      <c r="E132" s="32"/>
      <c r="F132" s="88"/>
      <c r="G132" s="32"/>
      <c r="H132" s="32"/>
      <c r="I132" s="32"/>
      <c r="J132" s="32"/>
      <c r="K132" s="55">
        <f t="shared" si="10"/>
        <v>3153</v>
      </c>
      <c r="L132" s="32"/>
      <c r="M132" s="32"/>
      <c r="N132" s="32"/>
      <c r="O132" s="32"/>
      <c r="P132" s="32">
        <f>K132*10%</f>
        <v>315.3</v>
      </c>
      <c r="Q132" s="32">
        <f t="shared" si="11"/>
        <v>1734.15</v>
      </c>
      <c r="R132" s="40">
        <v>2</v>
      </c>
    </row>
    <row r="133" spans="1:18" ht="81.75" customHeight="1">
      <c r="A133" s="37">
        <v>9</v>
      </c>
      <c r="B133" s="30" t="s">
        <v>31</v>
      </c>
      <c r="C133" s="299">
        <v>0.75</v>
      </c>
      <c r="D133" s="32">
        <v>3414</v>
      </c>
      <c r="E133" s="32"/>
      <c r="F133" s="88"/>
      <c r="G133" s="32"/>
      <c r="H133" s="32"/>
      <c r="I133" s="32"/>
      <c r="J133" s="32"/>
      <c r="K133" s="55">
        <f t="shared" si="10"/>
        <v>3414</v>
      </c>
      <c r="L133" s="32"/>
      <c r="M133" s="32"/>
      <c r="N133" s="32"/>
      <c r="O133" s="32"/>
      <c r="P133" s="36"/>
      <c r="Q133" s="32">
        <f t="shared" si="11"/>
        <v>2560.5</v>
      </c>
      <c r="R133" s="40">
        <v>3</v>
      </c>
    </row>
    <row r="134" spans="1:18" ht="39.75" customHeight="1">
      <c r="A134" s="108"/>
      <c r="B134" s="50" t="s">
        <v>18</v>
      </c>
      <c r="C134" s="303">
        <f>C125+C126+C127+C128+C129+C130+C131+C132+C133</f>
        <v>7</v>
      </c>
      <c r="D134" s="110"/>
      <c r="E134" s="110"/>
      <c r="F134" s="110"/>
      <c r="G134" s="110"/>
      <c r="H134" s="110"/>
      <c r="I134" s="110"/>
      <c r="J134" s="110"/>
      <c r="K134" s="55"/>
      <c r="L134" s="110"/>
      <c r="M134" s="110"/>
      <c r="N134" s="110"/>
      <c r="O134" s="110"/>
      <c r="P134" s="109"/>
      <c r="Q134" s="39">
        <f>Q125+Q126+Q127+Q128+Q129+Q130+Q131+Q132+Q133</f>
        <v>42913.1989</v>
      </c>
      <c r="R134" s="50"/>
    </row>
    <row r="135" spans="1:18" ht="39.75" customHeight="1">
      <c r="A135" s="108"/>
      <c r="B135" s="108"/>
      <c r="C135" s="303"/>
      <c r="D135" s="50"/>
      <c r="E135" s="50"/>
      <c r="F135" s="50"/>
      <c r="G135" s="50"/>
      <c r="H135" s="50"/>
      <c r="I135" s="50"/>
      <c r="J135" s="50"/>
      <c r="K135" s="82"/>
      <c r="L135" s="50"/>
      <c r="M135" s="50"/>
      <c r="N135" s="50"/>
      <c r="O135" s="50"/>
      <c r="P135" s="50"/>
      <c r="Q135" s="111"/>
      <c r="R135" s="50"/>
    </row>
    <row r="136" spans="1:18" ht="39.75" customHeight="1">
      <c r="A136" s="108"/>
      <c r="B136" s="108"/>
      <c r="C136" s="303"/>
      <c r="D136" s="50"/>
      <c r="E136" s="50"/>
      <c r="F136" s="50"/>
      <c r="G136" s="50"/>
      <c r="H136" s="50"/>
      <c r="I136" s="50"/>
      <c r="J136" s="50"/>
      <c r="K136" s="82"/>
      <c r="L136" s="50"/>
      <c r="M136" s="50"/>
      <c r="N136" s="50"/>
      <c r="O136" s="50"/>
      <c r="P136" s="50"/>
      <c r="Q136" s="39"/>
      <c r="R136" s="50"/>
    </row>
    <row r="137" spans="1:18" ht="39.75" customHeight="1">
      <c r="A137" s="108"/>
      <c r="B137" s="37" t="s">
        <v>52</v>
      </c>
      <c r="C137" s="296">
        <f>C126+C125+C127+C128+C129</f>
        <v>4</v>
      </c>
      <c r="D137" s="111"/>
      <c r="E137" s="111"/>
      <c r="F137" s="111"/>
      <c r="G137" s="111"/>
      <c r="H137" s="111"/>
      <c r="I137" s="111"/>
      <c r="J137" s="111"/>
      <c r="K137" s="95"/>
      <c r="L137" s="111"/>
      <c r="M137" s="111"/>
      <c r="N137" s="111"/>
      <c r="O137" s="111"/>
      <c r="P137" s="111"/>
      <c r="Q137" s="112">
        <f>Q125+Q126+Q127+Q128+Q129</f>
        <v>29692.3289</v>
      </c>
      <c r="R137" s="50"/>
    </row>
    <row r="138" spans="1:18" ht="39.75" customHeight="1">
      <c r="A138" s="108"/>
      <c r="B138" s="37" t="s">
        <v>44</v>
      </c>
      <c r="C138" s="296">
        <f>SUM(C133)</f>
        <v>0.75</v>
      </c>
      <c r="D138" s="111"/>
      <c r="E138" s="111"/>
      <c r="F138" s="111"/>
      <c r="G138" s="111"/>
      <c r="H138" s="111"/>
      <c r="I138" s="111"/>
      <c r="J138" s="111"/>
      <c r="K138" s="95"/>
      <c r="L138" s="111"/>
      <c r="M138" s="111"/>
      <c r="N138" s="111"/>
      <c r="O138" s="111"/>
      <c r="P138" s="111"/>
      <c r="Q138" s="112">
        <f>Q133</f>
        <v>2560.5</v>
      </c>
      <c r="R138" s="50"/>
    </row>
    <row r="139" spans="1:18" ht="82.5" customHeight="1">
      <c r="A139" s="108"/>
      <c r="B139" s="113" t="s">
        <v>53</v>
      </c>
      <c r="C139" s="296">
        <f>C130+C131+C132</f>
        <v>2.25</v>
      </c>
      <c r="D139" s="111"/>
      <c r="E139" s="111"/>
      <c r="F139" s="111"/>
      <c r="G139" s="111"/>
      <c r="H139" s="111"/>
      <c r="I139" s="111"/>
      <c r="J139" s="111"/>
      <c r="K139" s="95"/>
      <c r="L139" s="111"/>
      <c r="M139" s="111"/>
      <c r="N139" s="111"/>
      <c r="O139" s="111"/>
      <c r="P139" s="111"/>
      <c r="Q139" s="39">
        <f>Q130+Q131+Q132</f>
        <v>10660.369999999999</v>
      </c>
      <c r="R139" s="50"/>
    </row>
    <row r="140" spans="1:18" ht="39">
      <c r="A140" s="49"/>
      <c r="B140" s="49"/>
      <c r="C140" s="363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</row>
    <row r="141" spans="1:18" ht="48" customHeight="1">
      <c r="A141" s="428" t="s">
        <v>80</v>
      </c>
      <c r="B141" s="428"/>
      <c r="C141" s="428"/>
      <c r="D141" s="428"/>
      <c r="E141" s="428"/>
      <c r="F141" s="428"/>
      <c r="G141" s="428"/>
      <c r="H141" s="428"/>
      <c r="I141" s="428"/>
      <c r="J141" s="428"/>
      <c r="K141" s="428"/>
      <c r="L141" s="428"/>
      <c r="M141" s="428"/>
      <c r="N141" s="428"/>
      <c r="O141" s="428"/>
      <c r="P141" s="428"/>
      <c r="Q141" s="428"/>
      <c r="R141" s="428"/>
    </row>
    <row r="142" spans="1:18" ht="45.75" customHeight="1">
      <c r="A142" s="50">
        <v>1</v>
      </c>
      <c r="B142" s="51">
        <v>2</v>
      </c>
      <c r="C142" s="397">
        <v>3</v>
      </c>
      <c r="D142" s="51">
        <v>4</v>
      </c>
      <c r="E142" s="51">
        <v>5</v>
      </c>
      <c r="F142" s="51">
        <v>6</v>
      </c>
      <c r="G142" s="51">
        <v>7</v>
      </c>
      <c r="H142" s="51">
        <v>8</v>
      </c>
      <c r="I142" s="51">
        <v>9</v>
      </c>
      <c r="J142" s="51">
        <v>10</v>
      </c>
      <c r="K142" s="51">
        <v>11</v>
      </c>
      <c r="L142" s="51">
        <v>12</v>
      </c>
      <c r="M142" s="51">
        <v>13</v>
      </c>
      <c r="N142" s="51">
        <v>14</v>
      </c>
      <c r="O142" s="51">
        <v>15</v>
      </c>
      <c r="P142" s="51">
        <v>16</v>
      </c>
      <c r="Q142" s="51">
        <v>17</v>
      </c>
      <c r="R142" s="51">
        <v>18</v>
      </c>
    </row>
    <row r="143" spans="1:18" ht="76.5">
      <c r="A143" s="94">
        <v>1</v>
      </c>
      <c r="B143" s="80" t="s">
        <v>193</v>
      </c>
      <c r="C143" s="300">
        <v>1</v>
      </c>
      <c r="D143" s="71">
        <v>5265</v>
      </c>
      <c r="E143" s="70"/>
      <c r="F143" s="116"/>
      <c r="G143" s="117"/>
      <c r="H143" s="117">
        <f>D143*0.15</f>
        <v>789.75</v>
      </c>
      <c r="I143" s="117"/>
      <c r="J143" s="117"/>
      <c r="K143" s="69">
        <f>SUM(D143:J143)</f>
        <v>6054.75</v>
      </c>
      <c r="L143" s="117"/>
      <c r="M143" s="117"/>
      <c r="N143" s="117">
        <f>K143*20%</f>
        <v>1210.95</v>
      </c>
      <c r="O143" s="70"/>
      <c r="P143" s="118"/>
      <c r="Q143" s="72">
        <f>SUM(K143:P143)*C143</f>
        <v>7265.7</v>
      </c>
      <c r="R143" s="80">
        <v>10</v>
      </c>
    </row>
    <row r="144" spans="1:18" ht="45" customHeight="1">
      <c r="A144" s="94">
        <v>2</v>
      </c>
      <c r="B144" s="53" t="s">
        <v>153</v>
      </c>
      <c r="C144" s="292">
        <v>1</v>
      </c>
      <c r="D144" s="67">
        <v>5699</v>
      </c>
      <c r="E144" s="67"/>
      <c r="F144" s="89"/>
      <c r="G144" s="117"/>
      <c r="H144" s="119"/>
      <c r="I144" s="117"/>
      <c r="J144" s="119"/>
      <c r="K144" s="55">
        <f aca="true" t="shared" si="12" ref="K144:K180">SUM(D144:J144)</f>
        <v>5699</v>
      </c>
      <c r="L144" s="119"/>
      <c r="M144" s="119"/>
      <c r="N144" s="119">
        <f>K144*10%</f>
        <v>569.9</v>
      </c>
      <c r="O144" s="70"/>
      <c r="P144" s="120"/>
      <c r="Q144" s="32">
        <f>SUM(K144:P144)*C144</f>
        <v>6268.9</v>
      </c>
      <c r="R144" s="53">
        <v>11</v>
      </c>
    </row>
    <row r="145" spans="1:18" ht="75" customHeight="1">
      <c r="A145" s="94">
        <v>3</v>
      </c>
      <c r="B145" s="30" t="s">
        <v>154</v>
      </c>
      <c r="C145" s="299">
        <v>1</v>
      </c>
      <c r="D145" s="58">
        <v>7001</v>
      </c>
      <c r="E145" s="58"/>
      <c r="F145" s="116">
        <f>D145*10%</f>
        <v>700.1</v>
      </c>
      <c r="G145" s="401"/>
      <c r="H145" s="124"/>
      <c r="I145" s="401"/>
      <c r="J145" s="124"/>
      <c r="K145" s="105">
        <f t="shared" si="12"/>
        <v>7701.1</v>
      </c>
      <c r="L145" s="124"/>
      <c r="M145" s="124"/>
      <c r="N145" s="402">
        <f aca="true" t="shared" si="13" ref="N145:N150">K145*0.3</f>
        <v>2310.33</v>
      </c>
      <c r="O145" s="403"/>
      <c r="P145" s="125"/>
      <c r="Q145" s="32">
        <f>SUM(K145:P145)*C145</f>
        <v>10011.43</v>
      </c>
      <c r="R145" s="122">
        <v>14</v>
      </c>
    </row>
    <row r="146" spans="1:18" ht="75" customHeight="1">
      <c r="A146" s="94">
        <v>4</v>
      </c>
      <c r="B146" s="53" t="s">
        <v>155</v>
      </c>
      <c r="C146" s="292">
        <v>1</v>
      </c>
      <c r="D146" s="67">
        <v>6567</v>
      </c>
      <c r="E146" s="67"/>
      <c r="F146" s="400"/>
      <c r="G146" s="117"/>
      <c r="H146" s="67"/>
      <c r="I146" s="117"/>
      <c r="J146" s="67"/>
      <c r="K146" s="55">
        <f t="shared" si="12"/>
        <v>6567</v>
      </c>
      <c r="L146" s="67"/>
      <c r="M146" s="67"/>
      <c r="N146" s="119">
        <f t="shared" si="13"/>
        <v>1970.1</v>
      </c>
      <c r="O146" s="70"/>
      <c r="P146" s="120"/>
      <c r="Q146" s="60">
        <f>SUM(K146:P146)*C146</f>
        <v>8537.1</v>
      </c>
      <c r="R146" s="53">
        <v>13</v>
      </c>
    </row>
    <row r="147" spans="1:18" ht="67.5" customHeight="1">
      <c r="A147" s="356">
        <v>5</v>
      </c>
      <c r="B147" s="464" t="s">
        <v>166</v>
      </c>
      <c r="C147" s="460">
        <v>1</v>
      </c>
      <c r="D147" s="466">
        <v>5265</v>
      </c>
      <c r="E147" s="449"/>
      <c r="F147" s="468"/>
      <c r="G147" s="470"/>
      <c r="H147" s="67">
        <f>D147*0.15</f>
        <v>789.75</v>
      </c>
      <c r="I147" s="117"/>
      <c r="J147" s="449"/>
      <c r="K147" s="55">
        <f t="shared" si="12"/>
        <v>6054.75</v>
      </c>
      <c r="L147" s="449"/>
      <c r="M147" s="449"/>
      <c r="N147" s="119">
        <f>K147*0.1</f>
        <v>605.475</v>
      </c>
      <c r="O147" s="70"/>
      <c r="P147" s="451"/>
      <c r="Q147" s="121">
        <f>(K147+N147)*C147</f>
        <v>6660.225</v>
      </c>
      <c r="R147" s="462">
        <v>10</v>
      </c>
    </row>
    <row r="148" spans="1:18" ht="44.25" customHeight="1">
      <c r="A148" s="356">
        <v>6</v>
      </c>
      <c r="B148" s="465"/>
      <c r="C148" s="461"/>
      <c r="D148" s="467"/>
      <c r="E148" s="450"/>
      <c r="F148" s="469"/>
      <c r="G148" s="471"/>
      <c r="H148" s="116">
        <f>D147*0.6</f>
        <v>3159</v>
      </c>
      <c r="I148" s="117"/>
      <c r="J148" s="450"/>
      <c r="K148" s="55">
        <f>D147+H148</f>
        <v>8424</v>
      </c>
      <c r="L148" s="450"/>
      <c r="M148" s="450"/>
      <c r="N148" s="119">
        <f>K148*0.1</f>
        <v>842.4000000000001</v>
      </c>
      <c r="O148" s="70"/>
      <c r="P148" s="452"/>
      <c r="Q148" s="121">
        <f>(K148+N148)*C147</f>
        <v>9266.4</v>
      </c>
      <c r="R148" s="463"/>
    </row>
    <row r="149" spans="1:18" ht="75" customHeight="1">
      <c r="A149" s="127">
        <v>7</v>
      </c>
      <c r="B149" s="53" t="s">
        <v>156</v>
      </c>
      <c r="C149" s="292">
        <v>1</v>
      </c>
      <c r="D149" s="67">
        <v>6133</v>
      </c>
      <c r="E149" s="67"/>
      <c r="F149" s="89"/>
      <c r="G149" s="67"/>
      <c r="H149" s="128">
        <f>D149*0.25</f>
        <v>1533.25</v>
      </c>
      <c r="I149" s="67"/>
      <c r="J149" s="67"/>
      <c r="K149" s="55">
        <f t="shared" si="12"/>
        <v>7666.25</v>
      </c>
      <c r="L149" s="67"/>
      <c r="M149" s="67"/>
      <c r="N149" s="119">
        <f t="shared" si="13"/>
        <v>2299.875</v>
      </c>
      <c r="O149" s="70"/>
      <c r="P149" s="120"/>
      <c r="Q149" s="32">
        <f aca="true" t="shared" si="14" ref="Q149:Q174">SUM(K149:P149)*C149</f>
        <v>9966.125</v>
      </c>
      <c r="R149" s="53">
        <v>12</v>
      </c>
    </row>
    <row r="150" spans="1:18" ht="75" customHeight="1">
      <c r="A150" s="127">
        <v>8</v>
      </c>
      <c r="B150" s="53" t="s">
        <v>157</v>
      </c>
      <c r="C150" s="292">
        <v>1</v>
      </c>
      <c r="D150" s="67">
        <v>6567</v>
      </c>
      <c r="E150" s="67"/>
      <c r="F150" s="89"/>
      <c r="G150" s="67"/>
      <c r="H150" s="67"/>
      <c r="I150" s="67"/>
      <c r="J150" s="67"/>
      <c r="K150" s="55">
        <f t="shared" si="12"/>
        <v>6567</v>
      </c>
      <c r="L150" s="67"/>
      <c r="M150" s="67"/>
      <c r="N150" s="119">
        <f t="shared" si="13"/>
        <v>1970.1</v>
      </c>
      <c r="O150" s="70"/>
      <c r="P150" s="120"/>
      <c r="Q150" s="32">
        <f t="shared" si="14"/>
        <v>8537.1</v>
      </c>
      <c r="R150" s="53">
        <v>13</v>
      </c>
    </row>
    <row r="151" spans="1:18" ht="52.5" customHeight="1">
      <c r="A151" s="127">
        <v>9</v>
      </c>
      <c r="B151" s="53" t="s">
        <v>198</v>
      </c>
      <c r="C151" s="292">
        <v>1</v>
      </c>
      <c r="D151" s="67">
        <v>5699</v>
      </c>
      <c r="E151" s="89"/>
      <c r="F151" s="89"/>
      <c r="G151" s="67"/>
      <c r="H151" s="67">
        <f>D151*25%</f>
        <v>1424.75</v>
      </c>
      <c r="I151" s="67"/>
      <c r="J151" s="67"/>
      <c r="K151" s="55">
        <f t="shared" si="12"/>
        <v>7123.75</v>
      </c>
      <c r="L151" s="67"/>
      <c r="M151" s="67"/>
      <c r="N151" s="67">
        <f>K151*20%</f>
        <v>1424.75</v>
      </c>
      <c r="O151" s="70"/>
      <c r="P151" s="120"/>
      <c r="Q151" s="32">
        <f t="shared" si="14"/>
        <v>8548.5</v>
      </c>
      <c r="R151" s="53">
        <v>11</v>
      </c>
    </row>
    <row r="152" spans="1:18" ht="72" customHeight="1">
      <c r="A152" s="127">
        <v>10</v>
      </c>
      <c r="B152" s="53" t="s">
        <v>192</v>
      </c>
      <c r="C152" s="292">
        <v>1</v>
      </c>
      <c r="D152" s="67">
        <v>6567</v>
      </c>
      <c r="E152" s="89"/>
      <c r="F152" s="116">
        <f aca="true" t="shared" si="15" ref="F152:F158">D152*10%</f>
        <v>656.7</v>
      </c>
      <c r="G152" s="67"/>
      <c r="H152" s="67"/>
      <c r="I152" s="67"/>
      <c r="J152" s="67"/>
      <c r="K152" s="55">
        <f t="shared" si="12"/>
        <v>7223.7</v>
      </c>
      <c r="L152" s="67"/>
      <c r="M152" s="67"/>
      <c r="N152" s="128">
        <f>K152*30%</f>
        <v>2167.1099999999997</v>
      </c>
      <c r="O152" s="70"/>
      <c r="P152" s="120"/>
      <c r="Q152" s="32">
        <f t="shared" si="14"/>
        <v>9390.81</v>
      </c>
      <c r="R152" s="53">
        <v>13</v>
      </c>
    </row>
    <row r="153" spans="1:18" ht="75" customHeight="1">
      <c r="A153" s="127">
        <v>11</v>
      </c>
      <c r="B153" s="53" t="s">
        <v>131</v>
      </c>
      <c r="C153" s="292">
        <v>0.25</v>
      </c>
      <c r="D153" s="67">
        <v>5699</v>
      </c>
      <c r="E153" s="58"/>
      <c r="F153" s="116">
        <f t="shared" si="15"/>
        <v>569.9</v>
      </c>
      <c r="G153" s="67"/>
      <c r="H153" s="67"/>
      <c r="I153" s="67"/>
      <c r="J153" s="67"/>
      <c r="K153" s="55">
        <f t="shared" si="12"/>
        <v>6268.9</v>
      </c>
      <c r="L153" s="67"/>
      <c r="M153" s="67"/>
      <c r="N153" s="128">
        <f>K153*10%</f>
        <v>626.89</v>
      </c>
      <c r="O153" s="70"/>
      <c r="P153" s="120"/>
      <c r="Q153" s="32">
        <f t="shared" si="14"/>
        <v>1723.9475</v>
      </c>
      <c r="R153" s="53">
        <v>11</v>
      </c>
    </row>
    <row r="154" spans="1:18" ht="45" customHeight="1">
      <c r="A154" s="127">
        <v>12</v>
      </c>
      <c r="B154" s="53" t="s">
        <v>248</v>
      </c>
      <c r="C154" s="292">
        <v>1</v>
      </c>
      <c r="D154" s="67">
        <v>6567</v>
      </c>
      <c r="E154" s="67"/>
      <c r="F154" s="116">
        <f t="shared" si="15"/>
        <v>656.7</v>
      </c>
      <c r="G154" s="67"/>
      <c r="H154" s="67"/>
      <c r="I154" s="67"/>
      <c r="J154" s="67"/>
      <c r="K154" s="55">
        <f t="shared" si="12"/>
        <v>7223.7</v>
      </c>
      <c r="L154" s="67"/>
      <c r="M154" s="67"/>
      <c r="N154" s="128">
        <f>K154*30%</f>
        <v>2167.1099999999997</v>
      </c>
      <c r="O154" s="70"/>
      <c r="P154" s="120"/>
      <c r="Q154" s="32">
        <f t="shared" si="14"/>
        <v>9390.81</v>
      </c>
      <c r="R154" s="53">
        <v>13</v>
      </c>
    </row>
    <row r="155" spans="1:18" ht="45" customHeight="1">
      <c r="A155" s="127">
        <v>13</v>
      </c>
      <c r="B155" s="53" t="s">
        <v>205</v>
      </c>
      <c r="C155" s="292">
        <v>0.5</v>
      </c>
      <c r="D155" s="67">
        <v>5699</v>
      </c>
      <c r="E155" s="67"/>
      <c r="F155" s="116">
        <f t="shared" si="15"/>
        <v>569.9</v>
      </c>
      <c r="G155" s="67"/>
      <c r="H155" s="67"/>
      <c r="I155" s="67"/>
      <c r="J155" s="67"/>
      <c r="K155" s="55">
        <f>SUM(D155:J155)</f>
        <v>6268.9</v>
      </c>
      <c r="L155" s="67"/>
      <c r="M155" s="67"/>
      <c r="N155" s="128">
        <f>K155*10%</f>
        <v>626.89</v>
      </c>
      <c r="O155" s="70"/>
      <c r="P155" s="120"/>
      <c r="Q155" s="32">
        <f t="shared" si="14"/>
        <v>3447.895</v>
      </c>
      <c r="R155" s="53">
        <v>11</v>
      </c>
    </row>
    <row r="156" spans="1:18" ht="45" customHeight="1">
      <c r="A156" s="404">
        <v>14</v>
      </c>
      <c r="B156" s="53" t="s">
        <v>122</v>
      </c>
      <c r="C156" s="299">
        <v>1</v>
      </c>
      <c r="D156" s="67">
        <v>5699</v>
      </c>
      <c r="E156" s="67"/>
      <c r="F156" s="116">
        <f t="shared" si="15"/>
        <v>569.9</v>
      </c>
      <c r="G156" s="67"/>
      <c r="H156" s="67"/>
      <c r="I156" s="67"/>
      <c r="J156" s="67"/>
      <c r="K156" s="55">
        <f t="shared" si="12"/>
        <v>6268.9</v>
      </c>
      <c r="L156" s="67"/>
      <c r="M156" s="67"/>
      <c r="N156" s="128">
        <f>K156*30%</f>
        <v>1880.6699999999998</v>
      </c>
      <c r="O156" s="70"/>
      <c r="P156" s="120"/>
      <c r="Q156" s="32">
        <f t="shared" si="14"/>
        <v>8149.57</v>
      </c>
      <c r="R156" s="53">
        <v>11</v>
      </c>
    </row>
    <row r="157" spans="1:18" ht="90" customHeight="1">
      <c r="A157" s="405">
        <v>15</v>
      </c>
      <c r="B157" s="53" t="s">
        <v>158</v>
      </c>
      <c r="C157" s="292">
        <v>1</v>
      </c>
      <c r="D157" s="67">
        <v>6133</v>
      </c>
      <c r="E157" s="129"/>
      <c r="F157" s="116">
        <f t="shared" si="15"/>
        <v>613.3000000000001</v>
      </c>
      <c r="G157" s="67"/>
      <c r="H157" s="67">
        <f>D157*0.15</f>
        <v>919.9499999999999</v>
      </c>
      <c r="I157" s="67"/>
      <c r="J157" s="67"/>
      <c r="K157" s="55">
        <f t="shared" si="12"/>
        <v>7666.25</v>
      </c>
      <c r="L157" s="67"/>
      <c r="M157" s="67"/>
      <c r="N157" s="128">
        <f>K157*30%</f>
        <v>2299.875</v>
      </c>
      <c r="O157" s="70"/>
      <c r="P157" s="120"/>
      <c r="Q157" s="32">
        <f t="shared" si="14"/>
        <v>9966.125</v>
      </c>
      <c r="R157" s="53">
        <v>12</v>
      </c>
    </row>
    <row r="158" spans="1:18" ht="117" customHeight="1">
      <c r="A158" s="127">
        <v>16</v>
      </c>
      <c r="B158" s="53" t="s">
        <v>132</v>
      </c>
      <c r="C158" s="292">
        <v>1</v>
      </c>
      <c r="D158" s="67">
        <v>6133</v>
      </c>
      <c r="E158" s="58"/>
      <c r="F158" s="116">
        <f t="shared" si="15"/>
        <v>613.3000000000001</v>
      </c>
      <c r="G158" s="67"/>
      <c r="H158" s="67">
        <f>D158*0.15</f>
        <v>919.9499999999999</v>
      </c>
      <c r="I158" s="67"/>
      <c r="J158" s="67"/>
      <c r="K158" s="55">
        <f t="shared" si="12"/>
        <v>7666.25</v>
      </c>
      <c r="L158" s="67"/>
      <c r="M158" s="67"/>
      <c r="N158" s="128">
        <f>K158*30%</f>
        <v>2299.875</v>
      </c>
      <c r="O158" s="70"/>
      <c r="P158" s="120"/>
      <c r="Q158" s="32">
        <f t="shared" si="14"/>
        <v>9966.125</v>
      </c>
      <c r="R158" s="53">
        <v>12</v>
      </c>
    </row>
    <row r="159" spans="1:18" ht="38.25" hidden="1">
      <c r="A159" s="127">
        <v>20</v>
      </c>
      <c r="B159" s="53" t="s">
        <v>125</v>
      </c>
      <c r="C159" s="292"/>
      <c r="D159" s="67"/>
      <c r="E159" s="67"/>
      <c r="F159" s="89"/>
      <c r="G159" s="67"/>
      <c r="H159" s="67"/>
      <c r="I159" s="67"/>
      <c r="J159" s="67"/>
      <c r="K159" s="55">
        <f t="shared" si="12"/>
        <v>0</v>
      </c>
      <c r="L159" s="67"/>
      <c r="M159" s="67"/>
      <c r="N159" s="119">
        <f>K159*20%</f>
        <v>0</v>
      </c>
      <c r="O159" s="70"/>
      <c r="P159" s="120"/>
      <c r="Q159" s="32">
        <f t="shared" si="14"/>
        <v>0</v>
      </c>
      <c r="R159" s="53"/>
    </row>
    <row r="160" spans="1:18" ht="75" customHeight="1">
      <c r="A160" s="127">
        <v>17</v>
      </c>
      <c r="B160" s="53" t="s">
        <v>123</v>
      </c>
      <c r="C160" s="292">
        <v>0.5</v>
      </c>
      <c r="D160" s="119">
        <v>5265</v>
      </c>
      <c r="E160" s="119"/>
      <c r="F160" s="89"/>
      <c r="G160" s="67"/>
      <c r="H160" s="119">
        <f>D160*15%</f>
        <v>789.75</v>
      </c>
      <c r="I160" s="67"/>
      <c r="J160" s="119"/>
      <c r="K160" s="55">
        <f t="shared" si="12"/>
        <v>6054.75</v>
      </c>
      <c r="L160" s="119"/>
      <c r="M160" s="119"/>
      <c r="N160" s="119">
        <f aca="true" t="shared" si="16" ref="N160:N165">K160*30%</f>
        <v>1816.425</v>
      </c>
      <c r="O160" s="70"/>
      <c r="P160" s="120"/>
      <c r="Q160" s="32">
        <f t="shared" si="14"/>
        <v>3935.5875</v>
      </c>
      <c r="R160" s="53">
        <v>10</v>
      </c>
    </row>
    <row r="161" spans="1:18" ht="75" customHeight="1">
      <c r="A161" s="127">
        <v>18</v>
      </c>
      <c r="B161" s="53" t="s">
        <v>283</v>
      </c>
      <c r="C161" s="292">
        <v>0.5</v>
      </c>
      <c r="D161" s="119">
        <v>5699</v>
      </c>
      <c r="E161" s="67"/>
      <c r="F161" s="89"/>
      <c r="G161" s="67"/>
      <c r="H161" s="119">
        <f>D161*15%</f>
        <v>854.85</v>
      </c>
      <c r="I161" s="67"/>
      <c r="J161" s="67"/>
      <c r="K161" s="55">
        <f t="shared" si="12"/>
        <v>6553.85</v>
      </c>
      <c r="L161" s="67"/>
      <c r="M161" s="67"/>
      <c r="N161" s="119">
        <f t="shared" si="16"/>
        <v>1966.155</v>
      </c>
      <c r="O161" s="70"/>
      <c r="P161" s="120"/>
      <c r="Q161" s="32">
        <f t="shared" si="14"/>
        <v>4260.0025000000005</v>
      </c>
      <c r="R161" s="53">
        <v>11</v>
      </c>
    </row>
    <row r="162" spans="1:18" ht="75" customHeight="1">
      <c r="A162" s="127">
        <v>19</v>
      </c>
      <c r="B162" s="53" t="s">
        <v>190</v>
      </c>
      <c r="C162" s="292">
        <v>0.5</v>
      </c>
      <c r="D162" s="67">
        <v>5699</v>
      </c>
      <c r="E162" s="67"/>
      <c r="F162" s="89"/>
      <c r="G162" s="67"/>
      <c r="H162" s="119">
        <f>D162*15%</f>
        <v>854.85</v>
      </c>
      <c r="I162" s="67"/>
      <c r="J162" s="67"/>
      <c r="K162" s="55">
        <f t="shared" si="12"/>
        <v>6553.85</v>
      </c>
      <c r="L162" s="67"/>
      <c r="M162" s="67"/>
      <c r="N162" s="119">
        <f>K162*10%</f>
        <v>655.3850000000001</v>
      </c>
      <c r="O162" s="70"/>
      <c r="P162" s="120"/>
      <c r="Q162" s="32">
        <f t="shared" si="14"/>
        <v>3604.6175000000003</v>
      </c>
      <c r="R162" s="53">
        <v>11</v>
      </c>
    </row>
    <row r="163" spans="1:18" ht="75" customHeight="1">
      <c r="A163" s="127">
        <v>20</v>
      </c>
      <c r="B163" s="53" t="s">
        <v>202</v>
      </c>
      <c r="C163" s="292">
        <v>1</v>
      </c>
      <c r="D163" s="67">
        <v>6567</v>
      </c>
      <c r="E163" s="67"/>
      <c r="F163" s="89"/>
      <c r="G163" s="67"/>
      <c r="H163" s="67"/>
      <c r="I163" s="67"/>
      <c r="J163" s="67"/>
      <c r="K163" s="55">
        <f t="shared" si="12"/>
        <v>6567</v>
      </c>
      <c r="L163" s="67"/>
      <c r="M163" s="67"/>
      <c r="N163" s="67">
        <f t="shared" si="16"/>
        <v>1970.1</v>
      </c>
      <c r="O163" s="70"/>
      <c r="P163" s="120"/>
      <c r="Q163" s="32">
        <f t="shared" si="14"/>
        <v>8537.1</v>
      </c>
      <c r="R163" s="53">
        <v>13</v>
      </c>
    </row>
    <row r="164" spans="1:18" ht="75" customHeight="1">
      <c r="A164" s="127">
        <v>21</v>
      </c>
      <c r="B164" s="130" t="s">
        <v>191</v>
      </c>
      <c r="C164" s="299">
        <v>0.5</v>
      </c>
      <c r="D164" s="58">
        <v>6567</v>
      </c>
      <c r="E164" s="58"/>
      <c r="F164" s="89"/>
      <c r="G164" s="67"/>
      <c r="H164" s="58">
        <f>D164*0.15</f>
        <v>985.05</v>
      </c>
      <c r="I164" s="67"/>
      <c r="J164" s="58"/>
      <c r="K164" s="55">
        <f t="shared" si="12"/>
        <v>7552.05</v>
      </c>
      <c r="L164" s="58"/>
      <c r="M164" s="58"/>
      <c r="N164" s="58">
        <f t="shared" si="16"/>
        <v>2265.615</v>
      </c>
      <c r="O164" s="70"/>
      <c r="P164" s="30"/>
      <c r="Q164" s="32">
        <f t="shared" si="14"/>
        <v>4908.8325</v>
      </c>
      <c r="R164" s="30">
        <v>13</v>
      </c>
    </row>
    <row r="165" spans="1:18" ht="75" customHeight="1">
      <c r="A165" s="127">
        <v>22</v>
      </c>
      <c r="B165" s="53" t="s">
        <v>225</v>
      </c>
      <c r="C165" s="292">
        <v>2</v>
      </c>
      <c r="D165" s="67">
        <v>6133</v>
      </c>
      <c r="E165" s="67"/>
      <c r="F165" s="89"/>
      <c r="G165" s="67"/>
      <c r="H165" s="67"/>
      <c r="I165" s="67"/>
      <c r="J165" s="67"/>
      <c r="K165" s="55">
        <f t="shared" si="12"/>
        <v>6133</v>
      </c>
      <c r="L165" s="67"/>
      <c r="M165" s="67"/>
      <c r="N165" s="67">
        <f t="shared" si="16"/>
        <v>1839.8999999999999</v>
      </c>
      <c r="O165" s="70"/>
      <c r="P165" s="120"/>
      <c r="Q165" s="32">
        <f t="shared" si="14"/>
        <v>15945.8</v>
      </c>
      <c r="R165" s="53">
        <v>12</v>
      </c>
    </row>
    <row r="166" spans="1:18" ht="75" customHeight="1">
      <c r="A166" s="127">
        <v>23</v>
      </c>
      <c r="B166" s="53" t="s">
        <v>311</v>
      </c>
      <c r="C166" s="292">
        <v>1</v>
      </c>
      <c r="D166" s="408">
        <v>5699</v>
      </c>
      <c r="E166" s="67"/>
      <c r="F166" s="89"/>
      <c r="G166" s="67"/>
      <c r="H166" s="67"/>
      <c r="I166" s="67"/>
      <c r="J166" s="67"/>
      <c r="K166" s="55">
        <f t="shared" si="12"/>
        <v>5699</v>
      </c>
      <c r="L166" s="67"/>
      <c r="M166" s="67"/>
      <c r="N166" s="67">
        <f>K166*10%</f>
        <v>569.9</v>
      </c>
      <c r="O166" s="70"/>
      <c r="P166" s="120"/>
      <c r="Q166" s="32">
        <f t="shared" si="14"/>
        <v>6268.9</v>
      </c>
      <c r="R166" s="53">
        <v>11</v>
      </c>
    </row>
    <row r="167" spans="1:18" ht="75" customHeight="1">
      <c r="A167" s="127">
        <v>24</v>
      </c>
      <c r="B167" s="53" t="s">
        <v>262</v>
      </c>
      <c r="C167" s="292">
        <v>0.5</v>
      </c>
      <c r="D167" s="67">
        <v>5265</v>
      </c>
      <c r="E167" s="67"/>
      <c r="F167" s="89"/>
      <c r="G167" s="67"/>
      <c r="H167" s="67"/>
      <c r="I167" s="67"/>
      <c r="J167" s="67"/>
      <c r="K167" s="55">
        <f t="shared" si="12"/>
        <v>5265</v>
      </c>
      <c r="L167" s="67"/>
      <c r="M167" s="67"/>
      <c r="N167" s="67">
        <f>K167*30%</f>
        <v>1579.5</v>
      </c>
      <c r="O167" s="70"/>
      <c r="P167" s="120"/>
      <c r="Q167" s="32">
        <f>SUM(K167:P167)*C167</f>
        <v>3422.25</v>
      </c>
      <c r="R167" s="53">
        <v>10</v>
      </c>
    </row>
    <row r="168" spans="1:18" ht="75" customHeight="1">
      <c r="A168" s="127">
        <v>25</v>
      </c>
      <c r="B168" s="53" t="s">
        <v>263</v>
      </c>
      <c r="C168" s="292">
        <v>0.5</v>
      </c>
      <c r="D168" s="67">
        <v>6567</v>
      </c>
      <c r="E168" s="67"/>
      <c r="F168" s="89"/>
      <c r="G168" s="67"/>
      <c r="H168" s="67"/>
      <c r="I168" s="67"/>
      <c r="J168" s="67"/>
      <c r="K168" s="55">
        <f t="shared" si="12"/>
        <v>6567</v>
      </c>
      <c r="L168" s="67"/>
      <c r="M168" s="67"/>
      <c r="N168" s="67">
        <f>K168*30%</f>
        <v>1970.1</v>
      </c>
      <c r="O168" s="70"/>
      <c r="P168" s="120"/>
      <c r="Q168" s="32">
        <f t="shared" si="14"/>
        <v>4268.55</v>
      </c>
      <c r="R168" s="53">
        <v>13</v>
      </c>
    </row>
    <row r="169" spans="1:18" ht="75" customHeight="1">
      <c r="A169" s="127">
        <v>26</v>
      </c>
      <c r="B169" s="53" t="s">
        <v>303</v>
      </c>
      <c r="C169" s="292">
        <v>1</v>
      </c>
      <c r="D169" s="67">
        <v>5265</v>
      </c>
      <c r="E169" s="67"/>
      <c r="F169" s="89"/>
      <c r="G169" s="67"/>
      <c r="H169" s="67"/>
      <c r="I169" s="67"/>
      <c r="J169" s="67"/>
      <c r="K169" s="55">
        <f t="shared" si="12"/>
        <v>5265</v>
      </c>
      <c r="L169" s="67"/>
      <c r="M169" s="67"/>
      <c r="N169" s="67">
        <f>K169*0%</f>
        <v>0</v>
      </c>
      <c r="O169" s="67"/>
      <c r="P169" s="120"/>
      <c r="Q169" s="32">
        <f t="shared" si="14"/>
        <v>5265</v>
      </c>
      <c r="R169" s="53">
        <v>10</v>
      </c>
    </row>
    <row r="170" spans="1:18" ht="75" customHeight="1">
      <c r="A170" s="127">
        <v>27</v>
      </c>
      <c r="B170" s="53" t="s">
        <v>220</v>
      </c>
      <c r="C170" s="292">
        <v>1</v>
      </c>
      <c r="D170" s="67">
        <v>5265</v>
      </c>
      <c r="E170" s="67"/>
      <c r="F170" s="89"/>
      <c r="G170" s="67"/>
      <c r="H170" s="67"/>
      <c r="I170" s="67"/>
      <c r="J170" s="67"/>
      <c r="K170" s="55">
        <f t="shared" si="12"/>
        <v>5265</v>
      </c>
      <c r="L170" s="67"/>
      <c r="M170" s="67"/>
      <c r="N170" s="67">
        <f>K170*0%</f>
        <v>0</v>
      </c>
      <c r="O170" s="67"/>
      <c r="P170" s="120"/>
      <c r="Q170" s="32">
        <f t="shared" si="14"/>
        <v>5265</v>
      </c>
      <c r="R170" s="53">
        <v>10</v>
      </c>
    </row>
    <row r="171" spans="1:18" ht="75" customHeight="1">
      <c r="A171" s="127">
        <v>28</v>
      </c>
      <c r="B171" s="53" t="s">
        <v>300</v>
      </c>
      <c r="C171" s="292">
        <v>0.25</v>
      </c>
      <c r="D171" s="67">
        <v>5699</v>
      </c>
      <c r="E171" s="67"/>
      <c r="F171" s="89"/>
      <c r="G171" s="67"/>
      <c r="H171" s="67"/>
      <c r="I171" s="67"/>
      <c r="J171" s="67"/>
      <c r="K171" s="55">
        <f t="shared" si="12"/>
        <v>5699</v>
      </c>
      <c r="L171" s="67"/>
      <c r="M171" s="67"/>
      <c r="N171" s="67">
        <f>K171*20%</f>
        <v>1139.8</v>
      </c>
      <c r="O171" s="67"/>
      <c r="P171" s="120"/>
      <c r="Q171" s="32">
        <f t="shared" si="14"/>
        <v>1709.7</v>
      </c>
      <c r="R171" s="53">
        <v>11</v>
      </c>
    </row>
    <row r="172" spans="1:18" ht="75" customHeight="1">
      <c r="A172" s="127">
        <v>29</v>
      </c>
      <c r="B172" s="53" t="s">
        <v>312</v>
      </c>
      <c r="C172" s="292">
        <v>0.5</v>
      </c>
      <c r="D172" s="67">
        <v>5699</v>
      </c>
      <c r="E172" s="67"/>
      <c r="F172" s="89"/>
      <c r="G172" s="67"/>
      <c r="H172" s="67"/>
      <c r="I172" s="67"/>
      <c r="J172" s="67"/>
      <c r="K172" s="55">
        <f t="shared" si="12"/>
        <v>5699</v>
      </c>
      <c r="L172" s="67"/>
      <c r="M172" s="67"/>
      <c r="N172" s="67">
        <f>K172*20%</f>
        <v>1139.8</v>
      </c>
      <c r="O172" s="67"/>
      <c r="P172" s="120"/>
      <c r="Q172" s="32">
        <f t="shared" si="14"/>
        <v>3419.4</v>
      </c>
      <c r="R172" s="53">
        <v>11</v>
      </c>
    </row>
    <row r="173" spans="1:18" ht="75" customHeight="1">
      <c r="A173" s="127">
        <v>30</v>
      </c>
      <c r="B173" s="53" t="s">
        <v>219</v>
      </c>
      <c r="C173" s="292">
        <v>0.5</v>
      </c>
      <c r="D173" s="67">
        <v>5699</v>
      </c>
      <c r="E173" s="67"/>
      <c r="F173" s="89"/>
      <c r="G173" s="67"/>
      <c r="H173" s="67"/>
      <c r="I173" s="67"/>
      <c r="J173" s="67"/>
      <c r="K173" s="55">
        <f t="shared" si="12"/>
        <v>5699</v>
      </c>
      <c r="L173" s="67"/>
      <c r="M173" s="67"/>
      <c r="N173" s="67">
        <f>K173*20%</f>
        <v>1139.8</v>
      </c>
      <c r="O173" s="67"/>
      <c r="P173" s="120"/>
      <c r="Q173" s="32">
        <f t="shared" si="14"/>
        <v>3419.4</v>
      </c>
      <c r="R173" s="53">
        <v>11</v>
      </c>
    </row>
    <row r="174" spans="1:18" ht="75" customHeight="1">
      <c r="A174" s="127">
        <v>31</v>
      </c>
      <c r="B174" s="53" t="s">
        <v>304</v>
      </c>
      <c r="C174" s="292">
        <v>2</v>
      </c>
      <c r="D174" s="67">
        <v>5265</v>
      </c>
      <c r="E174" s="67"/>
      <c r="F174" s="89"/>
      <c r="G174" s="67"/>
      <c r="H174" s="67"/>
      <c r="I174" s="67"/>
      <c r="J174" s="67"/>
      <c r="K174" s="55">
        <f t="shared" si="12"/>
        <v>5265</v>
      </c>
      <c r="L174" s="67"/>
      <c r="M174" s="67"/>
      <c r="N174" s="67">
        <f>K174*0%</f>
        <v>0</v>
      </c>
      <c r="O174" s="67"/>
      <c r="P174" s="120"/>
      <c r="Q174" s="32">
        <f t="shared" si="14"/>
        <v>10530</v>
      </c>
      <c r="R174" s="53">
        <v>10</v>
      </c>
    </row>
    <row r="175" spans="1:18" ht="63.75" customHeight="1">
      <c r="A175" s="49"/>
      <c r="B175" s="49"/>
      <c r="C175" s="363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129">
        <f>Q143+Q144+Q145+Q146+Q147+Q148+Q149+Q150+Q151+Q152+Q153+Q154+Q155+Q156+Q157+Q158+Q160+Q161+Q162+Q163+Q164+Q165+Q166+Q167+Q168+Q169+Q170+Q174</f>
        <v>203308.40249999994</v>
      </c>
      <c r="R175" s="49"/>
    </row>
    <row r="176" spans="1:18" ht="30.75" customHeight="1" hidden="1">
      <c r="A176" s="131">
        <v>33</v>
      </c>
      <c r="B176" s="132" t="s">
        <v>124</v>
      </c>
      <c r="C176" s="366"/>
      <c r="D176" s="133"/>
      <c r="E176" s="86"/>
      <c r="F176" s="86"/>
      <c r="G176" s="86"/>
      <c r="H176" s="86"/>
      <c r="I176" s="86"/>
      <c r="J176" s="86"/>
      <c r="K176" s="82"/>
      <c r="L176" s="86"/>
      <c r="M176" s="86"/>
      <c r="N176" s="86"/>
      <c r="O176" s="86"/>
      <c r="P176" s="86"/>
      <c r="Q176" s="36">
        <f>SUM(K176:P176)*C176</f>
        <v>0</v>
      </c>
      <c r="R176" s="53"/>
    </row>
    <row r="177" spans="1:18" ht="41.25" customHeight="1">
      <c r="A177" s="134"/>
      <c r="B177" s="441" t="s">
        <v>32</v>
      </c>
      <c r="C177" s="455"/>
      <c r="D177" s="455"/>
      <c r="E177" s="455"/>
      <c r="F177" s="455"/>
      <c r="G177" s="455"/>
      <c r="H177" s="455"/>
      <c r="I177" s="455"/>
      <c r="J177" s="455"/>
      <c r="K177" s="455"/>
      <c r="L177" s="455"/>
      <c r="M177" s="455"/>
      <c r="N177" s="455"/>
      <c r="O177" s="455"/>
      <c r="P177" s="455"/>
      <c r="Q177" s="455"/>
      <c r="R177" s="442"/>
    </row>
    <row r="178" spans="1:18" ht="76.5">
      <c r="A178" s="94">
        <v>32</v>
      </c>
      <c r="B178" s="53" t="s">
        <v>226</v>
      </c>
      <c r="C178" s="292">
        <v>1</v>
      </c>
      <c r="D178" s="54">
        <v>6567</v>
      </c>
      <c r="E178" s="90">
        <f>D178*10%</f>
        <v>656.7</v>
      </c>
      <c r="F178" s="32">
        <f>(D178+E178)*0.1</f>
        <v>722.37</v>
      </c>
      <c r="G178" s="55"/>
      <c r="H178" s="55"/>
      <c r="I178" s="55"/>
      <c r="J178" s="55"/>
      <c r="K178" s="55">
        <f t="shared" si="12"/>
        <v>7946.07</v>
      </c>
      <c r="L178" s="55"/>
      <c r="M178" s="55"/>
      <c r="N178" s="54">
        <f>K178*0.3</f>
        <v>2383.821</v>
      </c>
      <c r="O178" s="55"/>
      <c r="P178" s="82"/>
      <c r="Q178" s="32">
        <f>SUM(K178:P178)*C178</f>
        <v>10329.891</v>
      </c>
      <c r="R178" s="56">
        <v>13</v>
      </c>
    </row>
    <row r="179" spans="1:18" ht="56.25" customHeight="1">
      <c r="A179" s="94">
        <v>33</v>
      </c>
      <c r="B179" s="53" t="s">
        <v>227</v>
      </c>
      <c r="C179" s="292">
        <v>1</v>
      </c>
      <c r="D179" s="54">
        <v>6567</v>
      </c>
      <c r="E179" s="67"/>
      <c r="F179" s="32">
        <f>(D179+E179)*0.1</f>
        <v>656.7</v>
      </c>
      <c r="G179" s="55"/>
      <c r="H179" s="67"/>
      <c r="I179" s="67"/>
      <c r="J179" s="67"/>
      <c r="K179" s="55">
        <f t="shared" si="12"/>
        <v>7223.7</v>
      </c>
      <c r="L179" s="67"/>
      <c r="M179" s="67"/>
      <c r="N179" s="31">
        <f>K179*0.3</f>
        <v>2167.1099999999997</v>
      </c>
      <c r="O179" s="55"/>
      <c r="P179" s="120"/>
      <c r="Q179" s="32">
        <f>SUM(K179:P179)*C179</f>
        <v>9390.81</v>
      </c>
      <c r="R179" s="56">
        <v>13</v>
      </c>
    </row>
    <row r="180" spans="1:18" ht="76.5">
      <c r="A180" s="94">
        <v>34</v>
      </c>
      <c r="B180" s="53" t="s">
        <v>167</v>
      </c>
      <c r="C180" s="292">
        <v>0.5</v>
      </c>
      <c r="D180" s="54">
        <v>6567</v>
      </c>
      <c r="E180" s="55"/>
      <c r="F180" s="55"/>
      <c r="G180" s="55"/>
      <c r="H180" s="55"/>
      <c r="I180" s="55"/>
      <c r="J180" s="55"/>
      <c r="K180" s="55">
        <f t="shared" si="12"/>
        <v>6567</v>
      </c>
      <c r="L180" s="55"/>
      <c r="M180" s="55"/>
      <c r="N180" s="90">
        <f>K180*0.3</f>
        <v>1970.1</v>
      </c>
      <c r="O180" s="55"/>
      <c r="P180" s="82"/>
      <c r="Q180" s="32">
        <f>SUM(K180:P180)*C180</f>
        <v>4268.55</v>
      </c>
      <c r="R180" s="56">
        <v>13</v>
      </c>
    </row>
    <row r="181" spans="1:18" ht="38.25">
      <c r="A181" s="78" t="s">
        <v>185</v>
      </c>
      <c r="B181" s="92"/>
      <c r="C181" s="307">
        <f>C180+C178+C169+C165+C164+C163+C162+C161+C160+C158+C157+C156+C155+C154+C153+C152+C151+C150+C149+C147+C146+C145+C144+C170+C166+C179+C174+C167+C168+C143+C171+C172+C173</f>
        <v>28.5</v>
      </c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 t="s">
        <v>33</v>
      </c>
      <c r="P181" s="92"/>
      <c r="Q181" s="318">
        <f>Q144+Q145+Q146+Q147+Q148+Q149+Q150+Q151+Q152+Q153+Q154+Q155+Q156+Q157+Q158+Q160+Q161+Q162+Q163+Q164+Q165+Q166+Q167+Q168+Q169+Q170+Q174+Q178+Q179+Q180+Q143</f>
        <v>227297.65349999996</v>
      </c>
      <c r="R181" s="92"/>
    </row>
    <row r="182" spans="1:18" ht="111" customHeight="1">
      <c r="A182" s="78" t="s">
        <v>186</v>
      </c>
      <c r="B182" s="137"/>
      <c r="C182" s="367"/>
      <c r="D182" s="138"/>
      <c r="E182" s="138"/>
      <c r="F182" s="138"/>
      <c r="G182" s="138"/>
      <c r="H182" s="137"/>
      <c r="I182" s="137"/>
      <c r="J182" s="137"/>
      <c r="K182" s="137"/>
      <c r="L182" s="137"/>
      <c r="M182" s="49"/>
      <c r="N182" s="49"/>
      <c r="O182" s="49"/>
      <c r="P182" s="49"/>
      <c r="Q182" s="49" t="s">
        <v>100</v>
      </c>
      <c r="R182" s="49"/>
    </row>
    <row r="183" spans="1:18" ht="43.5" customHeight="1">
      <c r="A183" s="50">
        <v>1</v>
      </c>
      <c r="B183" s="51">
        <v>2</v>
      </c>
      <c r="C183" s="397">
        <v>3</v>
      </c>
      <c r="D183" s="51">
        <v>4</v>
      </c>
      <c r="E183" s="51">
        <v>5</v>
      </c>
      <c r="F183" s="51">
        <v>6</v>
      </c>
      <c r="G183" s="51">
        <v>7</v>
      </c>
      <c r="H183" s="51">
        <v>8</v>
      </c>
      <c r="I183" s="51">
        <v>9</v>
      </c>
      <c r="J183" s="51">
        <v>10</v>
      </c>
      <c r="K183" s="51">
        <v>11</v>
      </c>
      <c r="L183" s="51">
        <v>12</v>
      </c>
      <c r="M183" s="51">
        <v>13</v>
      </c>
      <c r="N183" s="51">
        <v>14</v>
      </c>
      <c r="O183" s="51">
        <v>15</v>
      </c>
      <c r="P183" s="51">
        <v>16</v>
      </c>
      <c r="Q183" s="51">
        <v>17</v>
      </c>
      <c r="R183" s="51">
        <v>18</v>
      </c>
    </row>
    <row r="184" spans="1:18" ht="76.5">
      <c r="A184" s="139">
        <v>1</v>
      </c>
      <c r="B184" s="53" t="s">
        <v>249</v>
      </c>
      <c r="C184" s="292">
        <v>0.75</v>
      </c>
      <c r="D184" s="55">
        <v>4745</v>
      </c>
      <c r="E184" s="55">
        <f>D184*0.1</f>
        <v>474.5</v>
      </c>
      <c r="F184" s="55"/>
      <c r="G184" s="55"/>
      <c r="H184" s="55"/>
      <c r="I184" s="55"/>
      <c r="J184" s="55"/>
      <c r="K184" s="55">
        <f aca="true" t="shared" si="17" ref="K184:K210">SUM(D184:J184)</f>
        <v>5219.5</v>
      </c>
      <c r="L184" s="55"/>
      <c r="M184" s="55"/>
      <c r="N184" s="55">
        <f>K184*0.3</f>
        <v>1565.85</v>
      </c>
      <c r="O184" s="55"/>
      <c r="P184" s="82"/>
      <c r="Q184" s="32">
        <f aca="true" t="shared" si="18" ref="Q184:Q189">SUM(K184:P184)*C184</f>
        <v>5089.012500000001</v>
      </c>
      <c r="R184" s="56">
        <v>8</v>
      </c>
    </row>
    <row r="185" spans="1:18" ht="76.5">
      <c r="A185" s="139">
        <v>2</v>
      </c>
      <c r="B185" s="53" t="s">
        <v>250</v>
      </c>
      <c r="C185" s="292">
        <v>0.5</v>
      </c>
      <c r="D185" s="55">
        <v>47445</v>
      </c>
      <c r="E185" s="55"/>
      <c r="F185" s="55"/>
      <c r="G185" s="55"/>
      <c r="H185" s="55"/>
      <c r="I185" s="55"/>
      <c r="J185" s="55"/>
      <c r="K185" s="55">
        <f>SUM(D185:J185)</f>
        <v>47445</v>
      </c>
      <c r="L185" s="55"/>
      <c r="M185" s="55"/>
      <c r="N185" s="55">
        <f>K185*0.3</f>
        <v>14233.5</v>
      </c>
      <c r="O185" s="55"/>
      <c r="P185" s="82"/>
      <c r="Q185" s="32">
        <f t="shared" si="18"/>
        <v>30839.25</v>
      </c>
      <c r="R185" s="56">
        <v>8</v>
      </c>
    </row>
    <row r="186" spans="1:18" ht="76.5">
      <c r="A186" s="139">
        <v>3</v>
      </c>
      <c r="B186" s="53" t="s">
        <v>251</v>
      </c>
      <c r="C186" s="292">
        <v>0.75</v>
      </c>
      <c r="D186" s="81">
        <v>4745</v>
      </c>
      <c r="E186" s="55"/>
      <c r="F186" s="55"/>
      <c r="G186" s="55"/>
      <c r="H186" s="55">
        <f>D186*0.25</f>
        <v>1186.25</v>
      </c>
      <c r="I186" s="55"/>
      <c r="J186" s="55"/>
      <c r="K186" s="55">
        <f t="shared" si="17"/>
        <v>5931.25</v>
      </c>
      <c r="L186" s="55"/>
      <c r="M186" s="55"/>
      <c r="N186" s="55">
        <f>K186*0.2</f>
        <v>1186.25</v>
      </c>
      <c r="O186" s="55"/>
      <c r="P186" s="82"/>
      <c r="Q186" s="32">
        <f t="shared" si="18"/>
        <v>5338.125</v>
      </c>
      <c r="R186" s="56">
        <v>8</v>
      </c>
    </row>
    <row r="187" spans="1:18" ht="75.75" customHeight="1">
      <c r="A187" s="139">
        <v>4</v>
      </c>
      <c r="B187" s="53" t="s">
        <v>252</v>
      </c>
      <c r="C187" s="292">
        <v>0.75</v>
      </c>
      <c r="D187" s="55">
        <v>5005</v>
      </c>
      <c r="E187" s="55"/>
      <c r="F187" s="55"/>
      <c r="G187" s="55"/>
      <c r="H187" s="55">
        <f>D187*0.15</f>
        <v>750.75</v>
      </c>
      <c r="I187" s="55"/>
      <c r="J187" s="55"/>
      <c r="K187" s="55">
        <f t="shared" si="17"/>
        <v>5755.75</v>
      </c>
      <c r="L187" s="55"/>
      <c r="M187" s="55"/>
      <c r="N187" s="55">
        <f>K187*0.3</f>
        <v>1726.725</v>
      </c>
      <c r="O187" s="55"/>
      <c r="P187" s="82"/>
      <c r="Q187" s="32">
        <f t="shared" si="18"/>
        <v>5611.856250000001</v>
      </c>
      <c r="R187" s="56">
        <v>9</v>
      </c>
    </row>
    <row r="188" spans="1:18" ht="75.75" customHeight="1">
      <c r="A188" s="139">
        <v>5</v>
      </c>
      <c r="B188" s="53" t="s">
        <v>218</v>
      </c>
      <c r="C188" s="292">
        <v>0.75</v>
      </c>
      <c r="D188" s="55">
        <v>5005</v>
      </c>
      <c r="E188" s="55"/>
      <c r="F188" s="55"/>
      <c r="G188" s="55"/>
      <c r="H188" s="55"/>
      <c r="I188" s="55"/>
      <c r="J188" s="55"/>
      <c r="K188" s="55">
        <f t="shared" si="17"/>
        <v>5005</v>
      </c>
      <c r="L188" s="55"/>
      <c r="M188" s="55"/>
      <c r="N188" s="55">
        <f>K188*0.3</f>
        <v>1501.5</v>
      </c>
      <c r="O188" s="55"/>
      <c r="P188" s="82"/>
      <c r="Q188" s="32">
        <f t="shared" si="18"/>
        <v>4879.875</v>
      </c>
      <c r="R188" s="56">
        <v>9</v>
      </c>
    </row>
    <row r="189" spans="1:18" ht="84" customHeight="1">
      <c r="A189" s="139">
        <v>6</v>
      </c>
      <c r="B189" s="53" t="s">
        <v>253</v>
      </c>
      <c r="C189" s="368">
        <v>0.75</v>
      </c>
      <c r="D189" s="55">
        <v>5265</v>
      </c>
      <c r="E189" s="140"/>
      <c r="F189" s="140"/>
      <c r="G189" s="140"/>
      <c r="H189" s="140"/>
      <c r="I189" s="140"/>
      <c r="J189" s="140"/>
      <c r="K189" s="55">
        <f t="shared" si="17"/>
        <v>5265</v>
      </c>
      <c r="L189" s="140"/>
      <c r="M189" s="140"/>
      <c r="N189" s="55">
        <f>K189*0.2</f>
        <v>1053</v>
      </c>
      <c r="O189" s="140"/>
      <c r="P189" s="141"/>
      <c r="Q189" s="32">
        <f t="shared" si="18"/>
        <v>4738.5</v>
      </c>
      <c r="R189" s="99">
        <v>10</v>
      </c>
    </row>
    <row r="190" spans="1:18" ht="38.25" customHeight="1">
      <c r="A190" s="456">
        <v>7</v>
      </c>
      <c r="B190" s="458" t="s">
        <v>203</v>
      </c>
      <c r="C190" s="460">
        <v>0.75</v>
      </c>
      <c r="D190" s="449">
        <v>5005</v>
      </c>
      <c r="E190" s="449"/>
      <c r="F190" s="449"/>
      <c r="G190" s="449"/>
      <c r="H190" s="126">
        <f>D190*0.15</f>
        <v>750.75</v>
      </c>
      <c r="I190" s="449"/>
      <c r="J190" s="449"/>
      <c r="K190" s="55">
        <f t="shared" si="17"/>
        <v>5755.75</v>
      </c>
      <c r="L190" s="449"/>
      <c r="M190" s="449"/>
      <c r="N190" s="142">
        <f>K190*0.3</f>
        <v>1726.725</v>
      </c>
      <c r="O190" s="449"/>
      <c r="P190" s="451"/>
      <c r="Q190" s="449">
        <f>(K190+K191+N190+N191)*C190</f>
        <v>9665.90625</v>
      </c>
      <c r="R190" s="453">
        <v>9</v>
      </c>
    </row>
    <row r="191" spans="1:28" s="1" customFormat="1" ht="38.25">
      <c r="A191" s="457"/>
      <c r="B191" s="459"/>
      <c r="C191" s="461"/>
      <c r="D191" s="450"/>
      <c r="E191" s="450"/>
      <c r="F191" s="450"/>
      <c r="G191" s="450"/>
      <c r="H191" s="31">
        <f>D190*0.6</f>
        <v>3003</v>
      </c>
      <c r="I191" s="450"/>
      <c r="J191" s="450"/>
      <c r="K191" s="55">
        <f t="shared" si="17"/>
        <v>3003</v>
      </c>
      <c r="L191" s="450"/>
      <c r="M191" s="450"/>
      <c r="N191" s="107">
        <f>K191*0.8</f>
        <v>2402.4</v>
      </c>
      <c r="O191" s="450"/>
      <c r="P191" s="452"/>
      <c r="Q191" s="450"/>
      <c r="R191" s="45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18" ht="114.75">
      <c r="A192" s="37">
        <v>8</v>
      </c>
      <c r="B192" s="30" t="s">
        <v>254</v>
      </c>
      <c r="C192" s="299">
        <v>0.75</v>
      </c>
      <c r="D192" s="32">
        <v>4195</v>
      </c>
      <c r="E192" s="32"/>
      <c r="F192" s="32"/>
      <c r="G192" s="32"/>
      <c r="H192" s="32"/>
      <c r="I192" s="32"/>
      <c r="J192" s="32"/>
      <c r="K192" s="55">
        <f t="shared" si="17"/>
        <v>4195</v>
      </c>
      <c r="L192" s="32"/>
      <c r="M192" s="32"/>
      <c r="N192" s="32">
        <f>K192*0.1</f>
        <v>419.5</v>
      </c>
      <c r="O192" s="32"/>
      <c r="P192" s="36"/>
      <c r="Q192" s="32">
        <f aca="true" t="shared" si="19" ref="Q192:Q210">SUM(K192:P192)*C192</f>
        <v>3460.875</v>
      </c>
      <c r="R192" s="40">
        <v>6</v>
      </c>
    </row>
    <row r="193" spans="1:18" ht="114.75">
      <c r="A193" s="37">
        <v>9</v>
      </c>
      <c r="B193" s="30" t="s">
        <v>194</v>
      </c>
      <c r="C193" s="299">
        <v>0.75</v>
      </c>
      <c r="D193" s="32">
        <v>5005</v>
      </c>
      <c r="E193" s="32"/>
      <c r="F193" s="32"/>
      <c r="G193" s="32"/>
      <c r="H193" s="32"/>
      <c r="I193" s="32"/>
      <c r="J193" s="32"/>
      <c r="K193" s="55">
        <f t="shared" si="17"/>
        <v>5005</v>
      </c>
      <c r="L193" s="32"/>
      <c r="M193" s="32"/>
      <c r="N193" s="32">
        <f>K193*0.3</f>
        <v>1501.5</v>
      </c>
      <c r="O193" s="32"/>
      <c r="P193" s="36"/>
      <c r="Q193" s="32">
        <f t="shared" si="19"/>
        <v>4879.875</v>
      </c>
      <c r="R193" s="40">
        <v>9</v>
      </c>
    </row>
    <row r="194" spans="1:18" ht="114.75">
      <c r="A194" s="37">
        <v>10</v>
      </c>
      <c r="B194" s="30" t="s">
        <v>164</v>
      </c>
      <c r="C194" s="299">
        <v>0.75</v>
      </c>
      <c r="D194" s="32">
        <v>5005</v>
      </c>
      <c r="E194" s="32"/>
      <c r="F194" s="32"/>
      <c r="G194" s="32"/>
      <c r="H194" s="32"/>
      <c r="I194" s="32"/>
      <c r="J194" s="32"/>
      <c r="K194" s="55">
        <f t="shared" si="17"/>
        <v>5005</v>
      </c>
      <c r="L194" s="32"/>
      <c r="M194" s="32"/>
      <c r="N194" s="32">
        <f>K194*0.3</f>
        <v>1501.5</v>
      </c>
      <c r="O194" s="32"/>
      <c r="P194" s="36"/>
      <c r="Q194" s="32">
        <f t="shared" si="19"/>
        <v>4879.875</v>
      </c>
      <c r="R194" s="40">
        <v>9</v>
      </c>
    </row>
    <row r="195" spans="1:18" ht="114.75">
      <c r="A195" s="37">
        <v>11</v>
      </c>
      <c r="B195" s="30" t="s">
        <v>133</v>
      </c>
      <c r="C195" s="299">
        <v>0.75</v>
      </c>
      <c r="D195" s="32">
        <v>5005</v>
      </c>
      <c r="E195" s="32"/>
      <c r="F195" s="32"/>
      <c r="G195" s="32"/>
      <c r="H195" s="32"/>
      <c r="I195" s="32"/>
      <c r="J195" s="32"/>
      <c r="K195" s="55">
        <f t="shared" si="17"/>
        <v>5005</v>
      </c>
      <c r="L195" s="32"/>
      <c r="M195" s="32"/>
      <c r="N195" s="32">
        <f>K195*0.2</f>
        <v>1001</v>
      </c>
      <c r="O195" s="32"/>
      <c r="P195" s="36"/>
      <c r="Q195" s="32">
        <f t="shared" si="19"/>
        <v>4504.5</v>
      </c>
      <c r="R195" s="40">
        <v>9</v>
      </c>
    </row>
    <row r="196" spans="1:18" ht="114.75">
      <c r="A196" s="37">
        <v>12</v>
      </c>
      <c r="B196" s="30" t="s">
        <v>171</v>
      </c>
      <c r="C196" s="299">
        <v>0.75</v>
      </c>
      <c r="D196" s="32">
        <v>5005</v>
      </c>
      <c r="E196" s="32"/>
      <c r="F196" s="32"/>
      <c r="G196" s="32"/>
      <c r="H196" s="32"/>
      <c r="I196" s="32"/>
      <c r="J196" s="32"/>
      <c r="K196" s="55">
        <f t="shared" si="17"/>
        <v>5005</v>
      </c>
      <c r="L196" s="32"/>
      <c r="M196" s="32"/>
      <c r="N196" s="32">
        <f>K196*0.3</f>
        <v>1501.5</v>
      </c>
      <c r="O196" s="32"/>
      <c r="P196" s="36"/>
      <c r="Q196" s="32">
        <f t="shared" si="19"/>
        <v>4879.875</v>
      </c>
      <c r="R196" s="40">
        <v>9</v>
      </c>
    </row>
    <row r="197" spans="1:18" ht="114.75">
      <c r="A197" s="37">
        <v>13</v>
      </c>
      <c r="B197" s="30" t="s">
        <v>134</v>
      </c>
      <c r="C197" s="299">
        <v>0.75</v>
      </c>
      <c r="D197" s="32">
        <v>5005</v>
      </c>
      <c r="E197" s="32"/>
      <c r="F197" s="32"/>
      <c r="G197" s="32"/>
      <c r="H197" s="32"/>
      <c r="I197" s="32"/>
      <c r="J197" s="32"/>
      <c r="K197" s="55">
        <f t="shared" si="17"/>
        <v>5005</v>
      </c>
      <c r="L197" s="32"/>
      <c r="M197" s="32"/>
      <c r="N197" s="32">
        <f>K197*0.3</f>
        <v>1501.5</v>
      </c>
      <c r="O197" s="32"/>
      <c r="P197" s="36"/>
      <c r="Q197" s="32">
        <f t="shared" si="19"/>
        <v>4879.875</v>
      </c>
      <c r="R197" s="40">
        <v>9</v>
      </c>
    </row>
    <row r="198" spans="1:18" ht="103.5" customHeight="1">
      <c r="A198" s="37">
        <v>14</v>
      </c>
      <c r="B198" s="30" t="s">
        <v>135</v>
      </c>
      <c r="C198" s="299">
        <v>0.5</v>
      </c>
      <c r="D198" s="32">
        <v>5005</v>
      </c>
      <c r="E198" s="32"/>
      <c r="F198" s="32"/>
      <c r="G198" s="32"/>
      <c r="H198" s="32">
        <f>D198*0.15</f>
        <v>750.75</v>
      </c>
      <c r="I198" s="32"/>
      <c r="J198" s="32"/>
      <c r="K198" s="55">
        <f t="shared" si="17"/>
        <v>5755.75</v>
      </c>
      <c r="L198" s="32"/>
      <c r="M198" s="32"/>
      <c r="N198" s="32">
        <f>K198*0.3</f>
        <v>1726.725</v>
      </c>
      <c r="O198" s="32"/>
      <c r="P198" s="36"/>
      <c r="Q198" s="32">
        <f t="shared" si="19"/>
        <v>3741.2375</v>
      </c>
      <c r="R198" s="40">
        <v>9</v>
      </c>
    </row>
    <row r="199" spans="1:18" ht="114.75">
      <c r="A199" s="37">
        <v>15</v>
      </c>
      <c r="B199" s="30" t="s">
        <v>210</v>
      </c>
      <c r="C199" s="299">
        <v>0.25</v>
      </c>
      <c r="D199" s="32">
        <v>4195</v>
      </c>
      <c r="E199" s="32"/>
      <c r="F199" s="32"/>
      <c r="G199" s="32"/>
      <c r="H199" s="32">
        <f>D199*0.15</f>
        <v>629.25</v>
      </c>
      <c r="I199" s="32"/>
      <c r="J199" s="32"/>
      <c r="K199" s="55">
        <f t="shared" si="17"/>
        <v>4824.25</v>
      </c>
      <c r="L199" s="32"/>
      <c r="M199" s="32"/>
      <c r="N199" s="32">
        <f>K199*0.1</f>
        <v>482.425</v>
      </c>
      <c r="O199" s="32"/>
      <c r="P199" s="36"/>
      <c r="Q199" s="32">
        <f t="shared" si="19"/>
        <v>1326.66875</v>
      </c>
      <c r="R199" s="40">
        <v>6</v>
      </c>
    </row>
    <row r="200" spans="1:18" ht="76.5">
      <c r="A200" s="37">
        <v>16</v>
      </c>
      <c r="B200" s="30" t="s">
        <v>199</v>
      </c>
      <c r="C200" s="299">
        <v>0.75</v>
      </c>
      <c r="D200" s="32">
        <v>4455</v>
      </c>
      <c r="E200" s="32"/>
      <c r="F200" s="32"/>
      <c r="G200" s="32"/>
      <c r="H200" s="32"/>
      <c r="I200" s="32"/>
      <c r="J200" s="32"/>
      <c r="K200" s="55">
        <f t="shared" si="17"/>
        <v>4455</v>
      </c>
      <c r="L200" s="32"/>
      <c r="M200" s="32"/>
      <c r="N200" s="32">
        <f>K200*0.1</f>
        <v>445.5</v>
      </c>
      <c r="O200" s="32"/>
      <c r="P200" s="36"/>
      <c r="Q200" s="32">
        <f t="shared" si="19"/>
        <v>3675.375</v>
      </c>
      <c r="R200" s="40">
        <v>7</v>
      </c>
    </row>
    <row r="201" spans="1:18" ht="76.5">
      <c r="A201" s="37">
        <v>17</v>
      </c>
      <c r="B201" s="106" t="s">
        <v>163</v>
      </c>
      <c r="C201" s="299">
        <v>0.75</v>
      </c>
      <c r="D201" s="55">
        <v>5005</v>
      </c>
      <c r="E201" s="32"/>
      <c r="F201" s="32"/>
      <c r="G201" s="32"/>
      <c r="H201" s="32"/>
      <c r="I201" s="32"/>
      <c r="J201" s="32"/>
      <c r="K201" s="55">
        <f t="shared" si="17"/>
        <v>5005</v>
      </c>
      <c r="L201" s="32"/>
      <c r="M201" s="32"/>
      <c r="N201" s="32">
        <f aca="true" t="shared" si="20" ref="N201:N210">K201*0.3</f>
        <v>1501.5</v>
      </c>
      <c r="O201" s="32"/>
      <c r="P201" s="36"/>
      <c r="Q201" s="32">
        <f t="shared" si="19"/>
        <v>4879.875</v>
      </c>
      <c r="R201" s="40">
        <v>9</v>
      </c>
    </row>
    <row r="202" spans="1:18" ht="76.5">
      <c r="A202" s="37">
        <v>18</v>
      </c>
      <c r="B202" s="30" t="s">
        <v>211</v>
      </c>
      <c r="C202" s="299">
        <v>0.25</v>
      </c>
      <c r="D202" s="55">
        <v>5005</v>
      </c>
      <c r="E202" s="55"/>
      <c r="F202" s="89"/>
      <c r="G202" s="55"/>
      <c r="H202" s="90"/>
      <c r="I202" s="55"/>
      <c r="J202" s="55"/>
      <c r="K202" s="55">
        <f t="shared" si="17"/>
        <v>5005</v>
      </c>
      <c r="L202" s="55"/>
      <c r="M202" s="55"/>
      <c r="N202" s="55">
        <f t="shared" si="20"/>
        <v>1501.5</v>
      </c>
      <c r="O202" s="55"/>
      <c r="P202" s="56"/>
      <c r="Q202" s="144">
        <f t="shared" si="19"/>
        <v>1626.625</v>
      </c>
      <c r="R202" s="40">
        <v>9</v>
      </c>
    </row>
    <row r="203" spans="1:29" s="10" customFormat="1" ht="76.5">
      <c r="A203" s="37">
        <v>19</v>
      </c>
      <c r="B203" s="30" t="s">
        <v>224</v>
      </c>
      <c r="C203" s="299">
        <v>0.75</v>
      </c>
      <c r="D203" s="32">
        <v>5005</v>
      </c>
      <c r="E203" s="32"/>
      <c r="F203" s="32"/>
      <c r="G203" s="32"/>
      <c r="H203" s="107">
        <f>D203*0.25</f>
        <v>1251.25</v>
      </c>
      <c r="I203" s="107"/>
      <c r="J203" s="107"/>
      <c r="K203" s="55">
        <f t="shared" si="17"/>
        <v>6256.25</v>
      </c>
      <c r="L203" s="107"/>
      <c r="M203" s="107"/>
      <c r="N203" s="107">
        <f t="shared" si="20"/>
        <v>1876.875</v>
      </c>
      <c r="O203" s="32"/>
      <c r="P203" s="36"/>
      <c r="Q203" s="32">
        <f t="shared" si="19"/>
        <v>6099.84375</v>
      </c>
      <c r="R203" s="40">
        <v>9</v>
      </c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18" ht="76.5">
      <c r="A204" s="37">
        <v>20</v>
      </c>
      <c r="B204" s="30" t="s">
        <v>206</v>
      </c>
      <c r="C204" s="299">
        <v>0.75</v>
      </c>
      <c r="D204" s="32">
        <v>4195</v>
      </c>
      <c r="E204" s="32"/>
      <c r="F204" s="32"/>
      <c r="G204" s="32"/>
      <c r="H204" s="107"/>
      <c r="I204" s="107"/>
      <c r="J204" s="107"/>
      <c r="K204" s="55">
        <f>SUM(D204:J204)</f>
        <v>4195</v>
      </c>
      <c r="L204" s="107"/>
      <c r="M204" s="107"/>
      <c r="N204" s="107">
        <f>K204*0.1</f>
        <v>419.5</v>
      </c>
      <c r="O204" s="32"/>
      <c r="P204" s="36"/>
      <c r="Q204" s="32">
        <f>SUM(K204:P204)*C204</f>
        <v>3460.875</v>
      </c>
      <c r="R204" s="40">
        <v>6</v>
      </c>
    </row>
    <row r="205" spans="1:18" ht="76.5">
      <c r="A205" s="37">
        <v>21</v>
      </c>
      <c r="B205" s="30" t="s">
        <v>255</v>
      </c>
      <c r="C205" s="299">
        <v>0.75</v>
      </c>
      <c r="D205" s="32">
        <v>4745</v>
      </c>
      <c r="E205" s="32"/>
      <c r="F205" s="32"/>
      <c r="G205" s="32"/>
      <c r="H205" s="107"/>
      <c r="I205" s="107"/>
      <c r="J205" s="107"/>
      <c r="K205" s="55">
        <f t="shared" si="17"/>
        <v>4745</v>
      </c>
      <c r="L205" s="107"/>
      <c r="M205" s="107"/>
      <c r="N205" s="107">
        <f t="shared" si="20"/>
        <v>1423.5</v>
      </c>
      <c r="O205" s="32"/>
      <c r="P205" s="36"/>
      <c r="Q205" s="32">
        <f t="shared" si="19"/>
        <v>4626.375</v>
      </c>
      <c r="R205" s="40">
        <v>8</v>
      </c>
    </row>
    <row r="206" spans="1:18" ht="76.5">
      <c r="A206" s="37">
        <v>22</v>
      </c>
      <c r="B206" s="30" t="s">
        <v>223</v>
      </c>
      <c r="C206" s="369">
        <v>0.5</v>
      </c>
      <c r="D206" s="32">
        <v>5005</v>
      </c>
      <c r="E206" s="32"/>
      <c r="F206" s="32"/>
      <c r="G206" s="32"/>
      <c r="H206" s="107"/>
      <c r="I206" s="107"/>
      <c r="J206" s="107"/>
      <c r="K206" s="55">
        <f t="shared" si="17"/>
        <v>5005</v>
      </c>
      <c r="L206" s="107"/>
      <c r="M206" s="107"/>
      <c r="N206" s="107">
        <f t="shared" si="20"/>
        <v>1501.5</v>
      </c>
      <c r="O206" s="32"/>
      <c r="P206" s="36"/>
      <c r="Q206" s="32">
        <f t="shared" si="19"/>
        <v>3253.25</v>
      </c>
      <c r="R206" s="40">
        <v>9</v>
      </c>
    </row>
    <row r="207" spans="1:18" ht="82.5" customHeight="1">
      <c r="A207" s="37">
        <v>23</v>
      </c>
      <c r="B207" s="30" t="s">
        <v>272</v>
      </c>
      <c r="C207" s="299">
        <v>0.25</v>
      </c>
      <c r="D207" s="32">
        <v>5005</v>
      </c>
      <c r="E207" s="32"/>
      <c r="F207" s="32"/>
      <c r="G207" s="32"/>
      <c r="H207" s="107"/>
      <c r="I207" s="107"/>
      <c r="J207" s="107"/>
      <c r="K207" s="55">
        <f t="shared" si="17"/>
        <v>5005</v>
      </c>
      <c r="L207" s="107"/>
      <c r="M207" s="107"/>
      <c r="N207" s="107">
        <f t="shared" si="20"/>
        <v>1501.5</v>
      </c>
      <c r="O207" s="32"/>
      <c r="P207" s="36"/>
      <c r="Q207" s="32">
        <f t="shared" si="19"/>
        <v>1626.625</v>
      </c>
      <c r="R207" s="40">
        <v>9</v>
      </c>
    </row>
    <row r="208" spans="1:18" ht="74.25" customHeight="1">
      <c r="A208" s="37">
        <v>24</v>
      </c>
      <c r="B208" s="30" t="s">
        <v>273</v>
      </c>
      <c r="C208" s="299">
        <v>0.5</v>
      </c>
      <c r="D208" s="32">
        <v>5005</v>
      </c>
      <c r="E208" s="32"/>
      <c r="F208" s="32"/>
      <c r="G208" s="32"/>
      <c r="H208" s="107"/>
      <c r="I208" s="107"/>
      <c r="J208" s="107"/>
      <c r="K208" s="55">
        <f t="shared" si="17"/>
        <v>5005</v>
      </c>
      <c r="L208" s="107"/>
      <c r="M208" s="107"/>
      <c r="N208" s="107">
        <f t="shared" si="20"/>
        <v>1501.5</v>
      </c>
      <c r="O208" s="32"/>
      <c r="P208" s="36"/>
      <c r="Q208" s="32">
        <f t="shared" si="19"/>
        <v>3253.25</v>
      </c>
      <c r="R208" s="40">
        <v>9</v>
      </c>
    </row>
    <row r="209" spans="1:18" ht="74.25" customHeight="1">
      <c r="A209" s="37">
        <v>25</v>
      </c>
      <c r="B209" s="30" t="s">
        <v>309</v>
      </c>
      <c r="C209" s="299">
        <v>0.75</v>
      </c>
      <c r="D209" s="32">
        <v>5005</v>
      </c>
      <c r="E209" s="32"/>
      <c r="F209" s="32"/>
      <c r="G209" s="32"/>
      <c r="H209" s="107"/>
      <c r="I209" s="107"/>
      <c r="J209" s="107"/>
      <c r="K209" s="55">
        <f t="shared" si="17"/>
        <v>5005</v>
      </c>
      <c r="L209" s="107"/>
      <c r="M209" s="107"/>
      <c r="N209" s="107">
        <f t="shared" si="20"/>
        <v>1501.5</v>
      </c>
      <c r="O209" s="32"/>
      <c r="P209" s="36"/>
      <c r="Q209" s="32">
        <f t="shared" si="19"/>
        <v>4879.875</v>
      </c>
      <c r="R209" s="40">
        <v>9</v>
      </c>
    </row>
    <row r="210" spans="1:18" ht="74.25" customHeight="1">
      <c r="A210" s="37">
        <v>26</v>
      </c>
      <c r="B210" s="30" t="s">
        <v>291</v>
      </c>
      <c r="C210" s="369">
        <v>0.5</v>
      </c>
      <c r="D210" s="32">
        <v>5005</v>
      </c>
      <c r="E210" s="32"/>
      <c r="F210" s="32"/>
      <c r="G210" s="32"/>
      <c r="H210" s="107"/>
      <c r="I210" s="107"/>
      <c r="J210" s="107"/>
      <c r="K210" s="55">
        <f t="shared" si="17"/>
        <v>5005</v>
      </c>
      <c r="L210" s="107"/>
      <c r="M210" s="107"/>
      <c r="N210" s="107">
        <f t="shared" si="20"/>
        <v>1501.5</v>
      </c>
      <c r="O210" s="32"/>
      <c r="P210" s="36"/>
      <c r="Q210" s="32">
        <f t="shared" si="19"/>
        <v>3253.25</v>
      </c>
      <c r="R210" s="40">
        <v>9</v>
      </c>
    </row>
    <row r="211" spans="1:18" ht="38.25">
      <c r="A211" s="444" t="s">
        <v>18</v>
      </c>
      <c r="B211" s="444"/>
      <c r="C211" s="303">
        <f>SUM(C184:C210)</f>
        <v>16.75</v>
      </c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6"/>
      <c r="Q211" s="330">
        <f>SUM(Q184:Q210)</f>
        <v>139350.525</v>
      </c>
      <c r="R211" s="40"/>
    </row>
    <row r="212" spans="1:18" ht="52.5" customHeight="1">
      <c r="A212" s="243"/>
      <c r="B212" s="243"/>
      <c r="C212" s="302"/>
      <c r="D212" s="288"/>
      <c r="E212" s="325"/>
      <c r="F212" s="325"/>
      <c r="G212" s="325"/>
      <c r="H212" s="325"/>
      <c r="I212" s="325"/>
      <c r="J212" s="325"/>
      <c r="K212" s="325"/>
      <c r="L212" s="325"/>
      <c r="M212" s="325"/>
      <c r="N212" s="288"/>
      <c r="O212" s="288"/>
      <c r="P212" s="156"/>
      <c r="Q212" s="289"/>
      <c r="R212" s="159"/>
    </row>
    <row r="213" spans="1:18" ht="49.5" customHeight="1">
      <c r="A213" s="145"/>
      <c r="B213" s="49"/>
      <c r="C213" s="363"/>
      <c r="D213" s="49"/>
      <c r="E213" s="445" t="s">
        <v>81</v>
      </c>
      <c r="F213" s="445"/>
      <c r="G213" s="445"/>
      <c r="H213" s="445"/>
      <c r="I213" s="445"/>
      <c r="J213" s="445"/>
      <c r="K213" s="445"/>
      <c r="L213" s="445"/>
      <c r="M213" s="445"/>
      <c r="N213" s="49"/>
      <c r="O213" s="49"/>
      <c r="P213" s="49"/>
      <c r="Q213" s="49"/>
      <c r="R213" s="49"/>
    </row>
    <row r="214" spans="1:18" ht="36.75" customHeight="1">
      <c r="A214" s="50">
        <v>1</v>
      </c>
      <c r="B214" s="51">
        <v>2</v>
      </c>
      <c r="C214" s="397">
        <v>3</v>
      </c>
      <c r="D214" s="51">
        <v>4</v>
      </c>
      <c r="E214" s="51">
        <v>5</v>
      </c>
      <c r="F214" s="51">
        <v>6</v>
      </c>
      <c r="G214" s="51">
        <v>7</v>
      </c>
      <c r="H214" s="51">
        <v>8</v>
      </c>
      <c r="I214" s="51">
        <v>9</v>
      </c>
      <c r="J214" s="51">
        <v>10</v>
      </c>
      <c r="K214" s="51">
        <v>11</v>
      </c>
      <c r="L214" s="51">
        <v>12</v>
      </c>
      <c r="M214" s="51">
        <v>13</v>
      </c>
      <c r="N214" s="51">
        <v>14</v>
      </c>
      <c r="O214" s="51">
        <v>15</v>
      </c>
      <c r="P214" s="51">
        <v>16</v>
      </c>
      <c r="Q214" s="51">
        <v>17</v>
      </c>
      <c r="R214" s="51">
        <v>18</v>
      </c>
    </row>
    <row r="215" spans="1:18" ht="36" customHeight="1">
      <c r="A215" s="139">
        <v>1</v>
      </c>
      <c r="B215" s="30" t="s">
        <v>34</v>
      </c>
      <c r="C215" s="370">
        <v>1</v>
      </c>
      <c r="D215" s="32">
        <v>3674</v>
      </c>
      <c r="E215" s="32"/>
      <c r="F215" s="32"/>
      <c r="G215" s="32"/>
      <c r="H215" s="32"/>
      <c r="I215" s="32"/>
      <c r="J215" s="32"/>
      <c r="K215" s="55">
        <f>SUM(D215:J215)</f>
        <v>3674</v>
      </c>
      <c r="L215" s="32"/>
      <c r="M215" s="32"/>
      <c r="N215" s="32"/>
      <c r="O215" s="32"/>
      <c r="P215" s="32"/>
      <c r="Q215" s="32">
        <f>SUM(K215:P215)*C215</f>
        <v>3674</v>
      </c>
      <c r="R215" s="40">
        <v>4</v>
      </c>
    </row>
    <row r="216" spans="1:18" ht="75" customHeight="1">
      <c r="A216" s="139">
        <v>2</v>
      </c>
      <c r="B216" s="53" t="s">
        <v>35</v>
      </c>
      <c r="C216" s="292">
        <v>4</v>
      </c>
      <c r="D216" s="32">
        <v>3414</v>
      </c>
      <c r="E216" s="32"/>
      <c r="F216" s="55"/>
      <c r="G216" s="55"/>
      <c r="H216" s="55"/>
      <c r="I216" s="55"/>
      <c r="J216" s="55"/>
      <c r="K216" s="55">
        <f>SUM(D216:J216)</f>
        <v>3414</v>
      </c>
      <c r="L216" s="55"/>
      <c r="M216" s="55"/>
      <c r="N216" s="55"/>
      <c r="O216" s="32"/>
      <c r="P216" s="55">
        <f>K216*10%</f>
        <v>341.40000000000003</v>
      </c>
      <c r="Q216" s="32">
        <f>(K216+O216+P216)*C216</f>
        <v>15021.6</v>
      </c>
      <c r="R216" s="56">
        <v>3</v>
      </c>
    </row>
    <row r="217" spans="1:18" ht="38.25">
      <c r="A217" s="441" t="s">
        <v>18</v>
      </c>
      <c r="B217" s="442"/>
      <c r="C217" s="371">
        <f>C218+C219</f>
        <v>5</v>
      </c>
      <c r="D217" s="36"/>
      <c r="E217" s="82"/>
      <c r="F217" s="82"/>
      <c r="G217" s="82"/>
      <c r="H217" s="146"/>
      <c r="I217" s="146"/>
      <c r="J217" s="146"/>
      <c r="K217" s="146"/>
      <c r="L217" s="146"/>
      <c r="M217" s="146"/>
      <c r="N217" s="146"/>
      <c r="O217" s="146"/>
      <c r="P217" s="146"/>
      <c r="Q217" s="331">
        <f>SUM(Q215:Q216)</f>
        <v>18695.6</v>
      </c>
      <c r="R217" s="56"/>
    </row>
    <row r="218" spans="1:18" ht="42" customHeight="1">
      <c r="A218" s="147"/>
      <c r="B218" s="147" t="s">
        <v>44</v>
      </c>
      <c r="C218" s="372">
        <f>SUM(C216:C216)</f>
        <v>4</v>
      </c>
      <c r="D218" s="148"/>
      <c r="E218" s="148"/>
      <c r="F218" s="148"/>
      <c r="G218" s="148"/>
      <c r="H218" s="149"/>
      <c r="I218" s="149"/>
      <c r="J218" s="149"/>
      <c r="K218" s="149"/>
      <c r="L218" s="149"/>
      <c r="M218" s="149"/>
      <c r="N218" s="149"/>
      <c r="O218" s="149"/>
      <c r="P218" s="149"/>
      <c r="Q218" s="332">
        <f>SUM(Q216:Q216)</f>
        <v>15021.6</v>
      </c>
      <c r="R218" s="150"/>
    </row>
    <row r="219" spans="1:18" ht="41.25" customHeight="1">
      <c r="A219" s="151"/>
      <c r="B219" s="151" t="s">
        <v>53</v>
      </c>
      <c r="C219" s="373">
        <f>C215</f>
        <v>1</v>
      </c>
      <c r="D219" s="152"/>
      <c r="E219" s="152"/>
      <c r="F219" s="152"/>
      <c r="G219" s="152"/>
      <c r="H219" s="153"/>
      <c r="I219" s="153"/>
      <c r="J219" s="153"/>
      <c r="K219" s="153"/>
      <c r="L219" s="153"/>
      <c r="M219" s="153"/>
      <c r="N219" s="153"/>
      <c r="O219" s="153"/>
      <c r="P219" s="153"/>
      <c r="Q219" s="333">
        <f>Q215</f>
        <v>3674</v>
      </c>
      <c r="R219" s="154"/>
    </row>
    <row r="220" spans="1:18" ht="3" customHeight="1" hidden="1">
      <c r="A220" s="155"/>
      <c r="B220" s="155"/>
      <c r="C220" s="374"/>
      <c r="D220" s="156"/>
      <c r="E220" s="156"/>
      <c r="F220" s="156"/>
      <c r="G220" s="156"/>
      <c r="H220" s="157"/>
      <c r="I220" s="157"/>
      <c r="J220" s="157"/>
      <c r="K220" s="157"/>
      <c r="L220" s="157"/>
      <c r="M220" s="157"/>
      <c r="N220" s="157"/>
      <c r="O220" s="157"/>
      <c r="P220" s="157"/>
      <c r="Q220" s="158"/>
      <c r="R220" s="159"/>
    </row>
    <row r="221" spans="1:18" ht="66.75" customHeight="1">
      <c r="A221" s="155"/>
      <c r="B221" s="155"/>
      <c r="C221" s="374"/>
      <c r="D221" s="156"/>
      <c r="E221" s="446" t="s">
        <v>116</v>
      </c>
      <c r="F221" s="446"/>
      <c r="G221" s="446"/>
      <c r="H221" s="446"/>
      <c r="I221" s="446"/>
      <c r="J221" s="446"/>
      <c r="K221" s="446"/>
      <c r="L221" s="157"/>
      <c r="M221" s="157"/>
      <c r="N221" s="157"/>
      <c r="O221" s="157"/>
      <c r="P221" s="157"/>
      <c r="Q221" s="158"/>
      <c r="R221" s="159"/>
    </row>
    <row r="222" spans="1:18" ht="47.25" customHeight="1">
      <c r="A222" s="160">
        <v>1</v>
      </c>
      <c r="B222" s="387" t="s">
        <v>136</v>
      </c>
      <c r="C222" s="375">
        <v>1</v>
      </c>
      <c r="D222" s="161">
        <v>5265</v>
      </c>
      <c r="E222" s="162"/>
      <c r="F222" s="116"/>
      <c r="G222" s="162"/>
      <c r="H222" s="161">
        <f>D222*0.6</f>
        <v>3159</v>
      </c>
      <c r="I222" s="161"/>
      <c r="J222" s="161"/>
      <c r="K222" s="72">
        <f>SUM(D222:J222)</f>
        <v>8424</v>
      </c>
      <c r="L222" s="161">
        <f>K222*0.1</f>
        <v>842.4000000000001</v>
      </c>
      <c r="M222" s="161"/>
      <c r="N222" s="161">
        <f>K222*0.1</f>
        <v>842.4000000000001</v>
      </c>
      <c r="O222" s="161"/>
      <c r="P222" s="163"/>
      <c r="Q222" s="72">
        <f>SUM(K222:P222)*C222</f>
        <v>10108.8</v>
      </c>
      <c r="R222" s="164">
        <v>10</v>
      </c>
    </row>
    <row r="223" spans="1:18" ht="38.25">
      <c r="A223" s="160">
        <v>2</v>
      </c>
      <c r="B223" s="387" t="s">
        <v>212</v>
      </c>
      <c r="C223" s="304">
        <v>0.5</v>
      </c>
      <c r="D223" s="161">
        <v>5265</v>
      </c>
      <c r="E223" s="162"/>
      <c r="F223" s="116"/>
      <c r="G223" s="162"/>
      <c r="H223" s="161">
        <f>D223*0.6</f>
        <v>3159</v>
      </c>
      <c r="I223" s="161"/>
      <c r="J223" s="161"/>
      <c r="K223" s="69">
        <f>SUM(D223:J223)</f>
        <v>8424</v>
      </c>
      <c r="L223" s="161">
        <f>K223*0.1</f>
        <v>842.4000000000001</v>
      </c>
      <c r="M223" s="161"/>
      <c r="N223" s="161">
        <f>K223*0.1</f>
        <v>842.4000000000001</v>
      </c>
      <c r="O223" s="161"/>
      <c r="P223" s="163"/>
      <c r="Q223" s="72">
        <f>SUM(K223:P223)*C223</f>
        <v>5054.4</v>
      </c>
      <c r="R223" s="164">
        <v>10</v>
      </c>
    </row>
    <row r="224" spans="1:18" ht="93" customHeight="1">
      <c r="A224" s="160">
        <v>3</v>
      </c>
      <c r="B224" s="387" t="s">
        <v>228</v>
      </c>
      <c r="C224" s="304">
        <v>0.75</v>
      </c>
      <c r="D224" s="161">
        <v>5005</v>
      </c>
      <c r="E224" s="161"/>
      <c r="F224" s="116"/>
      <c r="G224" s="161"/>
      <c r="H224" s="161">
        <f>D224*0.6</f>
        <v>3003</v>
      </c>
      <c r="I224" s="161"/>
      <c r="J224" s="161"/>
      <c r="K224" s="69">
        <f>SUM(D224:J224)</f>
        <v>8008</v>
      </c>
      <c r="L224" s="161">
        <f>K224*0.1</f>
        <v>800.8000000000001</v>
      </c>
      <c r="M224" s="161"/>
      <c r="N224" s="161">
        <f>K224*0.3</f>
        <v>2402.4</v>
      </c>
      <c r="O224" s="161"/>
      <c r="P224" s="165"/>
      <c r="Q224" s="72">
        <f>SUM(K224:P224)*C224</f>
        <v>8408.4</v>
      </c>
      <c r="R224" s="164">
        <v>9</v>
      </c>
    </row>
    <row r="225" spans="1:18" ht="114.75">
      <c r="A225" s="160">
        <v>4</v>
      </c>
      <c r="B225" s="387" t="s">
        <v>159</v>
      </c>
      <c r="C225" s="304">
        <v>0.75</v>
      </c>
      <c r="D225" s="161">
        <v>5005</v>
      </c>
      <c r="E225" s="161"/>
      <c r="F225" s="116"/>
      <c r="G225" s="161"/>
      <c r="H225" s="161">
        <f>D225*0.6</f>
        <v>3003</v>
      </c>
      <c r="I225" s="161"/>
      <c r="J225" s="161"/>
      <c r="K225" s="69">
        <f>SUM(D225:J225)</f>
        <v>8008</v>
      </c>
      <c r="L225" s="161">
        <f>K225*0.1</f>
        <v>800.8000000000001</v>
      </c>
      <c r="M225" s="161"/>
      <c r="N225" s="161">
        <f>K225*0.3</f>
        <v>2402.4</v>
      </c>
      <c r="O225" s="161"/>
      <c r="P225" s="165"/>
      <c r="Q225" s="72">
        <f>SUM(K225:P225)*C225</f>
        <v>8408.4</v>
      </c>
      <c r="R225" s="164">
        <v>9</v>
      </c>
    </row>
    <row r="226" spans="1:18" ht="37.5" customHeight="1">
      <c r="A226" s="166"/>
      <c r="B226" s="166" t="s">
        <v>18</v>
      </c>
      <c r="C226" s="296">
        <f>SUM(C222:C225)</f>
        <v>3</v>
      </c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334">
        <f>SUM(Q222:Q225)</f>
        <v>31980</v>
      </c>
      <c r="R226" s="166"/>
    </row>
    <row r="227" spans="1:18" ht="42.75" customHeight="1">
      <c r="A227" s="98"/>
      <c r="B227" s="167" t="s">
        <v>46</v>
      </c>
      <c r="C227" s="297">
        <f>C222+C223</f>
        <v>1.5</v>
      </c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335">
        <f>Q222+Q223</f>
        <v>15163.199999999999</v>
      </c>
      <c r="R227" s="98"/>
    </row>
    <row r="228" spans="1:18" ht="33.75" customHeight="1">
      <c r="A228" s="98"/>
      <c r="B228" s="167" t="s">
        <v>256</v>
      </c>
      <c r="C228" s="297">
        <f>C224+C225</f>
        <v>1.5</v>
      </c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335">
        <f>Q224+Q225</f>
        <v>16816.8</v>
      </c>
      <c r="R228" s="98"/>
    </row>
    <row r="229" spans="1:18" ht="17.25" customHeight="1" hidden="1">
      <c r="A229" s="169"/>
      <c r="B229" s="170"/>
      <c r="C229" s="376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69"/>
    </row>
    <row r="230" spans="1:18" ht="27.75" customHeight="1" hidden="1">
      <c r="A230" s="447"/>
      <c r="B230" s="447"/>
      <c r="C230" s="447"/>
      <c r="D230" s="447"/>
      <c r="E230" s="447"/>
      <c r="F230" s="447"/>
      <c r="G230" s="447"/>
      <c r="H230" s="447"/>
      <c r="I230" s="447"/>
      <c r="J230" s="447"/>
      <c r="K230" s="447"/>
      <c r="L230" s="447"/>
      <c r="M230" s="447"/>
      <c r="N230" s="447"/>
      <c r="O230" s="447"/>
      <c r="P230" s="447"/>
      <c r="Q230" s="447"/>
      <c r="R230" s="447"/>
    </row>
    <row r="231" spans="1:18" ht="39" customHeight="1">
      <c r="A231" s="49"/>
      <c r="B231" s="173" t="s">
        <v>187</v>
      </c>
      <c r="C231" s="377"/>
      <c r="D231" s="174"/>
      <c r="E231" s="174"/>
      <c r="F231" s="174"/>
      <c r="G231" s="175">
        <f>G232+G234+G235+G236</f>
        <v>53.25</v>
      </c>
      <c r="H231" s="174"/>
      <c r="I231" s="174"/>
      <c r="J231" s="174"/>
      <c r="K231" s="174"/>
      <c r="L231" s="174"/>
      <c r="M231" s="176"/>
      <c r="N231" s="174"/>
      <c r="O231" s="174"/>
      <c r="P231" s="174"/>
      <c r="Q231" s="177">
        <f>Q232+Q234+Q235+Q236</f>
        <v>417323.7784999999</v>
      </c>
      <c r="R231" s="49"/>
    </row>
    <row r="232" spans="1:18" ht="38.25">
      <c r="A232" s="178" t="s">
        <v>188</v>
      </c>
      <c r="B232" s="91" t="s">
        <v>54</v>
      </c>
      <c r="C232" s="364"/>
      <c r="D232" s="92"/>
      <c r="E232" s="92"/>
      <c r="F232" s="92"/>
      <c r="G232" s="180">
        <f>C181+C227</f>
        <v>30</v>
      </c>
      <c r="H232" s="92"/>
      <c r="I232" s="92"/>
      <c r="J232" s="92"/>
      <c r="K232" s="92"/>
      <c r="L232" s="92"/>
      <c r="M232" s="92"/>
      <c r="N232" s="92"/>
      <c r="O232" s="181" t="s">
        <v>51</v>
      </c>
      <c r="P232" s="182"/>
      <c r="Q232" s="136">
        <f>Q181+Q227</f>
        <v>242460.85349999997</v>
      </c>
      <c r="R232" s="49"/>
    </row>
    <row r="233" spans="1:18" ht="38.25">
      <c r="A233" s="178"/>
      <c r="B233" s="183" t="s">
        <v>58</v>
      </c>
      <c r="C233" s="378"/>
      <c r="D233" s="45"/>
      <c r="E233" s="92"/>
      <c r="F233" s="92"/>
      <c r="G233" s="184"/>
      <c r="H233" s="92"/>
      <c r="I233" s="92"/>
      <c r="J233" s="92"/>
      <c r="K233" s="92"/>
      <c r="L233" s="92"/>
      <c r="M233" s="92"/>
      <c r="N233" s="92"/>
      <c r="O233" s="92" t="s">
        <v>76</v>
      </c>
      <c r="P233" s="84"/>
      <c r="Q233" s="185"/>
      <c r="R233" s="49"/>
    </row>
    <row r="234" spans="1:18" ht="38.25">
      <c r="A234" s="178"/>
      <c r="B234" s="448" t="s">
        <v>241</v>
      </c>
      <c r="C234" s="448"/>
      <c r="D234" s="448"/>
      <c r="E234" s="92"/>
      <c r="F234" s="84"/>
      <c r="G234" s="180">
        <f>C211+C228</f>
        <v>18.25</v>
      </c>
      <c r="H234" s="92"/>
      <c r="I234" s="92"/>
      <c r="J234" s="92"/>
      <c r="K234" s="92"/>
      <c r="L234" s="92"/>
      <c r="M234" s="92"/>
      <c r="N234" s="92"/>
      <c r="O234" s="92"/>
      <c r="P234" s="45"/>
      <c r="Q234" s="187">
        <f>Q211+Q228</f>
        <v>156167.32499999998</v>
      </c>
      <c r="R234" s="49"/>
    </row>
    <row r="235" spans="1:18" ht="27.75" customHeight="1">
      <c r="A235" s="49"/>
      <c r="B235" s="84" t="s">
        <v>44</v>
      </c>
      <c r="C235" s="364"/>
      <c r="D235" s="92"/>
      <c r="E235" s="92"/>
      <c r="F235" s="92"/>
      <c r="G235" s="186">
        <f>C218</f>
        <v>4</v>
      </c>
      <c r="H235" s="92"/>
      <c r="I235" s="92"/>
      <c r="J235" s="92"/>
      <c r="K235" s="92"/>
      <c r="L235" s="92"/>
      <c r="M235" s="92"/>
      <c r="N235" s="92"/>
      <c r="O235" s="92"/>
      <c r="P235" s="92"/>
      <c r="Q235" s="136">
        <f>Q218</f>
        <v>15021.6</v>
      </c>
      <c r="R235" s="49"/>
    </row>
    <row r="236" spans="1:18" ht="41.25" customHeight="1">
      <c r="A236" s="49"/>
      <c r="B236" s="84" t="s">
        <v>53</v>
      </c>
      <c r="C236" s="364"/>
      <c r="D236" s="92"/>
      <c r="E236" s="92"/>
      <c r="F236" s="84" t="s">
        <v>36</v>
      </c>
      <c r="G236" s="180">
        <f>C219</f>
        <v>1</v>
      </c>
      <c r="H236" s="92"/>
      <c r="I236" s="92"/>
      <c r="J236" s="92"/>
      <c r="K236" s="92"/>
      <c r="L236" s="92"/>
      <c r="M236" s="92"/>
      <c r="N236" s="92"/>
      <c r="O236" s="92"/>
      <c r="P236" s="92"/>
      <c r="Q236" s="136">
        <f>Q219</f>
        <v>3674</v>
      </c>
      <c r="R236" s="49"/>
    </row>
    <row r="237" spans="1:18" ht="41.25" customHeight="1">
      <c r="A237" s="443" t="s">
        <v>120</v>
      </c>
      <c r="B237" s="443"/>
      <c r="C237" s="443"/>
      <c r="D237" s="443"/>
      <c r="E237" s="443"/>
      <c r="F237" s="443"/>
      <c r="G237" s="443"/>
      <c r="H237" s="443"/>
      <c r="I237" s="443"/>
      <c r="J237" s="443"/>
      <c r="K237" s="443"/>
      <c r="L237" s="443"/>
      <c r="M237" s="443"/>
      <c r="N237" s="443"/>
      <c r="O237" s="443"/>
      <c r="P237" s="443"/>
      <c r="Q237" s="443"/>
      <c r="R237" s="443"/>
    </row>
    <row r="238" spans="1:18" ht="15" customHeight="1">
      <c r="A238" s="199"/>
      <c r="B238" s="188"/>
      <c r="C238" s="363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</row>
    <row r="239" spans="1:18" ht="51" customHeight="1">
      <c r="A239" s="437" t="s">
        <v>38</v>
      </c>
      <c r="B239" s="437"/>
      <c r="C239" s="437"/>
      <c r="D239" s="437"/>
      <c r="E239" s="437"/>
      <c r="F239" s="437"/>
      <c r="G239" s="437"/>
      <c r="H239" s="437"/>
      <c r="I239" s="437"/>
      <c r="J239" s="437"/>
      <c r="K239" s="437"/>
      <c r="L239" s="437"/>
      <c r="M239" s="437"/>
      <c r="N239" s="437"/>
      <c r="O239" s="437"/>
      <c r="P239" s="437"/>
      <c r="Q239" s="437"/>
      <c r="R239" s="437"/>
    </row>
    <row r="240" spans="1:18" ht="37.5">
      <c r="A240" s="388">
        <v>1</v>
      </c>
      <c r="B240" s="298">
        <v>2</v>
      </c>
      <c r="C240" s="397">
        <v>3</v>
      </c>
      <c r="D240" s="200">
        <v>4</v>
      </c>
      <c r="E240" s="200">
        <v>5</v>
      </c>
      <c r="F240" s="200">
        <v>6</v>
      </c>
      <c r="G240" s="200">
        <v>7</v>
      </c>
      <c r="H240" s="200">
        <v>8</v>
      </c>
      <c r="I240" s="200">
        <v>9</v>
      </c>
      <c r="J240" s="200">
        <v>10</v>
      </c>
      <c r="K240" s="200">
        <v>11</v>
      </c>
      <c r="L240" s="200">
        <v>12</v>
      </c>
      <c r="M240" s="200">
        <v>13</v>
      </c>
      <c r="N240" s="200">
        <v>14</v>
      </c>
      <c r="O240" s="200">
        <v>15</v>
      </c>
      <c r="P240" s="200">
        <v>16</v>
      </c>
      <c r="Q240" s="200">
        <v>17</v>
      </c>
      <c r="R240" s="200">
        <v>18</v>
      </c>
    </row>
    <row r="241" spans="1:18" ht="79.5" customHeight="1" hidden="1">
      <c r="A241" s="389">
        <v>2</v>
      </c>
      <c r="B241" s="390" t="s">
        <v>177</v>
      </c>
      <c r="C241" s="300"/>
      <c r="D241" s="201">
        <v>3207</v>
      </c>
      <c r="E241" s="201"/>
      <c r="F241" s="201"/>
      <c r="G241" s="201"/>
      <c r="H241" s="201"/>
      <c r="I241" s="201"/>
      <c r="J241" s="201"/>
      <c r="K241" s="69">
        <f>D241</f>
        <v>3207</v>
      </c>
      <c r="L241" s="201"/>
      <c r="M241" s="201"/>
      <c r="N241" s="201">
        <f>K241*0.2</f>
        <v>641.4000000000001</v>
      </c>
      <c r="O241" s="201"/>
      <c r="P241" s="201"/>
      <c r="Q241" s="203">
        <f aca="true" t="shared" si="21" ref="Q241:Q249">SUM(K241:P241)*C241</f>
        <v>0</v>
      </c>
      <c r="R241" s="202">
        <v>10</v>
      </c>
    </row>
    <row r="242" spans="1:18" ht="36.75" customHeight="1">
      <c r="A242" s="389">
        <v>1</v>
      </c>
      <c r="B242" s="383" t="s">
        <v>268</v>
      </c>
      <c r="C242" s="300">
        <v>0.5</v>
      </c>
      <c r="D242" s="201">
        <v>5265</v>
      </c>
      <c r="E242" s="201"/>
      <c r="F242" s="201"/>
      <c r="G242" s="201"/>
      <c r="H242" s="201"/>
      <c r="I242" s="201"/>
      <c r="J242" s="201"/>
      <c r="K242" s="69">
        <f aca="true" t="shared" si="22" ref="K242:K249">SUM(D242:J242)</f>
        <v>5265</v>
      </c>
      <c r="L242" s="201"/>
      <c r="M242" s="201"/>
      <c r="N242" s="201">
        <f>K242*0.1</f>
        <v>526.5</v>
      </c>
      <c r="O242" s="201"/>
      <c r="P242" s="201"/>
      <c r="Q242" s="204">
        <f t="shared" si="21"/>
        <v>2895.75</v>
      </c>
      <c r="R242" s="202">
        <v>10</v>
      </c>
    </row>
    <row r="243" spans="1:18" ht="67.5" customHeight="1">
      <c r="A243" s="384">
        <v>2</v>
      </c>
      <c r="B243" s="383" t="s">
        <v>139</v>
      </c>
      <c r="C243" s="300">
        <v>1</v>
      </c>
      <c r="D243" s="69">
        <v>5005</v>
      </c>
      <c r="E243" s="69"/>
      <c r="F243" s="81"/>
      <c r="G243" s="69"/>
      <c r="H243" s="201">
        <f>D243*0.15</f>
        <v>750.75</v>
      </c>
      <c r="I243" s="69"/>
      <c r="J243" s="69"/>
      <c r="K243" s="69">
        <f t="shared" si="22"/>
        <v>5755.75</v>
      </c>
      <c r="L243" s="69"/>
      <c r="M243" s="69"/>
      <c r="N243" s="201">
        <f>K243*0.3</f>
        <v>1726.725</v>
      </c>
      <c r="O243" s="69"/>
      <c r="P243" s="69"/>
      <c r="Q243" s="204">
        <f t="shared" si="21"/>
        <v>7482.475</v>
      </c>
      <c r="R243" s="73">
        <v>9</v>
      </c>
    </row>
    <row r="244" spans="1:18" ht="70.5">
      <c r="A244" s="384">
        <v>3</v>
      </c>
      <c r="B244" s="383" t="s">
        <v>109</v>
      </c>
      <c r="C244" s="300">
        <v>0.25</v>
      </c>
      <c r="D244" s="69">
        <v>4745</v>
      </c>
      <c r="E244" s="69"/>
      <c r="F244" s="205"/>
      <c r="G244" s="69"/>
      <c r="H244" s="201">
        <f>D244*0.15</f>
        <v>711.75</v>
      </c>
      <c r="I244" s="69"/>
      <c r="J244" s="69"/>
      <c r="K244" s="69">
        <f t="shared" si="22"/>
        <v>5456.75</v>
      </c>
      <c r="L244" s="69"/>
      <c r="M244" s="69"/>
      <c r="N244" s="201">
        <f>K244*0.3</f>
        <v>1637.0249999999999</v>
      </c>
      <c r="O244" s="69"/>
      <c r="P244" s="69"/>
      <c r="Q244" s="204">
        <f t="shared" si="21"/>
        <v>1773.44375</v>
      </c>
      <c r="R244" s="73">
        <v>8</v>
      </c>
    </row>
    <row r="245" spans="1:18" ht="70.5">
      <c r="A245" s="384">
        <v>4</v>
      </c>
      <c r="B245" s="383" t="s">
        <v>207</v>
      </c>
      <c r="C245" s="300">
        <v>1</v>
      </c>
      <c r="D245" s="69">
        <v>4195</v>
      </c>
      <c r="E245" s="69"/>
      <c r="F245" s="205"/>
      <c r="G245" s="69"/>
      <c r="H245" s="201">
        <f>D245*0.15</f>
        <v>629.25</v>
      </c>
      <c r="I245" s="69"/>
      <c r="J245" s="69"/>
      <c r="K245" s="69">
        <f t="shared" si="22"/>
        <v>4824.25</v>
      </c>
      <c r="L245" s="69"/>
      <c r="M245" s="69"/>
      <c r="N245" s="201">
        <f>K245*0.1</f>
        <v>482.425</v>
      </c>
      <c r="O245" s="69"/>
      <c r="P245" s="69"/>
      <c r="Q245" s="204">
        <f>SUM(K245+N245)*C245</f>
        <v>5306.675</v>
      </c>
      <c r="R245" s="73">
        <v>6</v>
      </c>
    </row>
    <row r="246" spans="1:18" ht="79.5" customHeight="1">
      <c r="A246" s="384">
        <v>5</v>
      </c>
      <c r="B246" s="383" t="s">
        <v>170</v>
      </c>
      <c r="C246" s="306">
        <v>1</v>
      </c>
      <c r="D246" s="206">
        <v>4195</v>
      </c>
      <c r="E246" s="206"/>
      <c r="F246" s="206"/>
      <c r="G246" s="206"/>
      <c r="H246" s="206"/>
      <c r="I246" s="206"/>
      <c r="J246" s="206"/>
      <c r="K246" s="69">
        <f t="shared" si="22"/>
        <v>4195</v>
      </c>
      <c r="L246" s="206"/>
      <c r="M246" s="206"/>
      <c r="N246" s="201">
        <f>K246*0.3</f>
        <v>1258.5</v>
      </c>
      <c r="O246" s="206"/>
      <c r="P246" s="206"/>
      <c r="Q246" s="72">
        <f t="shared" si="21"/>
        <v>5453.5</v>
      </c>
      <c r="R246" s="207">
        <v>6</v>
      </c>
    </row>
    <row r="247" spans="1:18" ht="48.75" customHeight="1">
      <c r="A247" s="384">
        <v>6</v>
      </c>
      <c r="B247" s="391" t="s">
        <v>169</v>
      </c>
      <c r="C247" s="306">
        <v>0.75</v>
      </c>
      <c r="D247" s="206">
        <v>4195</v>
      </c>
      <c r="E247" s="206"/>
      <c r="F247" s="206"/>
      <c r="G247" s="206"/>
      <c r="H247" s="206"/>
      <c r="I247" s="206"/>
      <c r="J247" s="206"/>
      <c r="K247" s="69">
        <f t="shared" si="22"/>
        <v>4195</v>
      </c>
      <c r="L247" s="206"/>
      <c r="M247" s="206"/>
      <c r="N247" s="201">
        <f>K247*0.1</f>
        <v>419.5</v>
      </c>
      <c r="O247" s="206"/>
      <c r="P247" s="206"/>
      <c r="Q247" s="72">
        <f t="shared" si="21"/>
        <v>3460.875</v>
      </c>
      <c r="R247" s="207">
        <v>6</v>
      </c>
    </row>
    <row r="248" spans="1:18" ht="43.5" customHeight="1">
      <c r="A248" s="384">
        <v>7</v>
      </c>
      <c r="B248" s="391" t="s">
        <v>229</v>
      </c>
      <c r="C248" s="306">
        <v>0.25</v>
      </c>
      <c r="D248" s="206">
        <v>5005</v>
      </c>
      <c r="E248" s="206"/>
      <c r="F248" s="206"/>
      <c r="G248" s="206"/>
      <c r="H248" s="206"/>
      <c r="I248" s="206"/>
      <c r="J248" s="206"/>
      <c r="K248" s="69">
        <f t="shared" si="22"/>
        <v>5005</v>
      </c>
      <c r="L248" s="206"/>
      <c r="M248" s="206"/>
      <c r="N248" s="201">
        <f>K248*0.3</f>
        <v>1501.5</v>
      </c>
      <c r="O248" s="206"/>
      <c r="P248" s="206"/>
      <c r="Q248" s="72">
        <f t="shared" si="21"/>
        <v>1626.625</v>
      </c>
      <c r="R248" s="207">
        <v>9</v>
      </c>
    </row>
    <row r="249" spans="1:18" ht="72" customHeight="1">
      <c r="A249" s="384">
        <v>8</v>
      </c>
      <c r="B249" s="392" t="s">
        <v>257</v>
      </c>
      <c r="C249" s="304">
        <v>0.5</v>
      </c>
      <c r="D249" s="161">
        <v>3414</v>
      </c>
      <c r="E249" s="161"/>
      <c r="F249" s="161"/>
      <c r="G249" s="161"/>
      <c r="H249" s="161">
        <f>D249*0.15</f>
        <v>512.1</v>
      </c>
      <c r="I249" s="161"/>
      <c r="J249" s="161"/>
      <c r="K249" s="69">
        <f t="shared" si="22"/>
        <v>3926.1</v>
      </c>
      <c r="L249" s="161"/>
      <c r="M249" s="161"/>
      <c r="N249" s="161"/>
      <c r="O249" s="161"/>
      <c r="P249" s="161">
        <f>D249*10%</f>
        <v>341.40000000000003</v>
      </c>
      <c r="Q249" s="72">
        <f t="shared" si="21"/>
        <v>2133.75</v>
      </c>
      <c r="R249" s="164">
        <v>3</v>
      </c>
    </row>
    <row r="250" spans="1:18" ht="34.5" customHeight="1" thickBot="1">
      <c r="A250" s="438" t="s">
        <v>18</v>
      </c>
      <c r="B250" s="439"/>
      <c r="C250" s="295">
        <f>SUM(C241:C249)</f>
        <v>5.25</v>
      </c>
      <c r="D250" s="208"/>
      <c r="E250" s="208"/>
      <c r="F250" s="208"/>
      <c r="G250" s="208"/>
      <c r="H250" s="208"/>
      <c r="I250" s="208"/>
      <c r="J250" s="208"/>
      <c r="K250" s="208"/>
      <c r="L250" s="208"/>
      <c r="M250" s="208"/>
      <c r="N250" s="208"/>
      <c r="O250" s="208"/>
      <c r="P250" s="208"/>
      <c r="Q250" s="209">
        <f>SUM(Q241:Q249)</f>
        <v>30133.09375</v>
      </c>
      <c r="R250" s="210"/>
    </row>
    <row r="251" spans="1:18" ht="41.25" customHeight="1">
      <c r="A251" s="393"/>
      <c r="B251" s="394" t="s">
        <v>54</v>
      </c>
      <c r="C251" s="302">
        <f>C242</f>
        <v>0.5</v>
      </c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336">
        <f>Q242</f>
        <v>2895.75</v>
      </c>
      <c r="R251" s="159"/>
    </row>
    <row r="252" spans="1:18" ht="48.75" customHeight="1">
      <c r="A252" s="159"/>
      <c r="B252" s="194" t="s">
        <v>55</v>
      </c>
      <c r="C252" s="302">
        <f>SUM(C243+C246+C247+C244+C248)+C245</f>
        <v>4.25</v>
      </c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336">
        <f>SUM(Q243+Q246+Q247+Q244+Q248)+Q245</f>
        <v>25103.593749999996</v>
      </c>
      <c r="R252" s="159"/>
    </row>
    <row r="253" spans="1:18" ht="33" customHeight="1">
      <c r="A253" s="159"/>
      <c r="B253" s="194" t="s">
        <v>44</v>
      </c>
      <c r="C253" s="302">
        <f>C249</f>
        <v>0.5</v>
      </c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337">
        <f>Q249</f>
        <v>2133.75</v>
      </c>
      <c r="R253" s="159"/>
    </row>
    <row r="254" spans="1:18" ht="138.75" customHeight="1">
      <c r="A254" s="440" t="s">
        <v>40</v>
      </c>
      <c r="B254" s="440"/>
      <c r="C254" s="440"/>
      <c r="D254" s="440"/>
      <c r="E254" s="440"/>
      <c r="F254" s="440"/>
      <c r="G254" s="440"/>
      <c r="H254" s="440"/>
      <c r="I254" s="440"/>
      <c r="J254" s="440"/>
      <c r="K254" s="440"/>
      <c r="L254" s="440"/>
      <c r="M254" s="440"/>
      <c r="N254" s="440"/>
      <c r="O254" s="440"/>
      <c r="P254" s="440"/>
      <c r="Q254" s="440"/>
      <c r="R254" s="440"/>
    </row>
    <row r="255" spans="1:18" ht="37.5">
      <c r="A255" s="50">
        <v>1</v>
      </c>
      <c r="B255" s="51">
        <v>2</v>
      </c>
      <c r="C255" s="397">
        <v>3</v>
      </c>
      <c r="D255" s="51">
        <v>4</v>
      </c>
      <c r="E255" s="51">
        <v>5</v>
      </c>
      <c r="F255" s="51">
        <v>6</v>
      </c>
      <c r="G255" s="51">
        <v>7</v>
      </c>
      <c r="H255" s="51">
        <v>8</v>
      </c>
      <c r="I255" s="51">
        <v>9</v>
      </c>
      <c r="J255" s="51">
        <v>10</v>
      </c>
      <c r="K255" s="51">
        <v>11</v>
      </c>
      <c r="L255" s="51">
        <v>12</v>
      </c>
      <c r="M255" s="51">
        <v>13</v>
      </c>
      <c r="N255" s="51">
        <v>14</v>
      </c>
      <c r="O255" s="51">
        <v>15</v>
      </c>
      <c r="P255" s="51">
        <v>16</v>
      </c>
      <c r="Q255" s="51">
        <v>17</v>
      </c>
      <c r="R255" s="51">
        <v>18</v>
      </c>
    </row>
    <row r="256" spans="1:18" ht="76.5">
      <c r="A256" s="94">
        <v>1</v>
      </c>
      <c r="B256" s="53" t="s">
        <v>149</v>
      </c>
      <c r="C256" s="292">
        <v>0.5</v>
      </c>
      <c r="D256" s="55">
        <v>5265</v>
      </c>
      <c r="E256" s="55">
        <f>D256*0.1</f>
        <v>526.5</v>
      </c>
      <c r="F256" s="55"/>
      <c r="G256" s="55"/>
      <c r="H256" s="55"/>
      <c r="I256" s="55"/>
      <c r="J256" s="55"/>
      <c r="K256" s="55">
        <f>SUM(D256:J256)</f>
        <v>5791.5</v>
      </c>
      <c r="L256" s="55"/>
      <c r="M256" s="55"/>
      <c r="N256" s="55">
        <f>K256*0.3</f>
        <v>1737.45</v>
      </c>
      <c r="O256" s="55"/>
      <c r="P256" s="55"/>
      <c r="Q256" s="32">
        <f>SUM(K256:P256)*C256</f>
        <v>3764.475</v>
      </c>
      <c r="R256" s="56">
        <v>10</v>
      </c>
    </row>
    <row r="257" spans="1:18" ht="111" customHeight="1">
      <c r="A257" s="94">
        <v>2</v>
      </c>
      <c r="B257" s="53" t="s">
        <v>150</v>
      </c>
      <c r="C257" s="292">
        <v>3.25</v>
      </c>
      <c r="D257" s="55">
        <v>5265</v>
      </c>
      <c r="E257" s="55"/>
      <c r="F257" s="55"/>
      <c r="G257" s="55"/>
      <c r="H257" s="55"/>
      <c r="I257" s="55"/>
      <c r="J257" s="55"/>
      <c r="K257" s="55">
        <f>SUM(D257:J257)</f>
        <v>5265</v>
      </c>
      <c r="L257" s="55"/>
      <c r="M257" s="55"/>
      <c r="N257" s="55">
        <f>K257*0.3</f>
        <v>1579.5</v>
      </c>
      <c r="O257" s="55"/>
      <c r="P257" s="55"/>
      <c r="Q257" s="32">
        <f>SUM(K257:P257)*C257</f>
        <v>22244.625</v>
      </c>
      <c r="R257" s="56">
        <v>10</v>
      </c>
    </row>
    <row r="258" spans="1:18" ht="99" customHeight="1">
      <c r="A258" s="94">
        <v>3</v>
      </c>
      <c r="B258" s="53" t="s">
        <v>204</v>
      </c>
      <c r="C258" s="292">
        <v>1</v>
      </c>
      <c r="D258" s="55">
        <v>4455</v>
      </c>
      <c r="E258" s="55"/>
      <c r="F258" s="55"/>
      <c r="G258" s="55"/>
      <c r="H258" s="55"/>
      <c r="I258" s="55"/>
      <c r="J258" s="55"/>
      <c r="K258" s="55">
        <f>SUM(D258:J258)</f>
        <v>4455</v>
      </c>
      <c r="L258" s="55"/>
      <c r="M258" s="55"/>
      <c r="N258" s="55">
        <f>K258*0.1</f>
        <v>445.5</v>
      </c>
      <c r="O258" s="55"/>
      <c r="P258" s="55"/>
      <c r="Q258" s="32">
        <f>SUM(K258:P258)*C258</f>
        <v>4900.5</v>
      </c>
      <c r="R258" s="56">
        <v>7</v>
      </c>
    </row>
    <row r="259" spans="1:18" ht="100.5" customHeight="1">
      <c r="A259" s="94">
        <v>4</v>
      </c>
      <c r="B259" s="53" t="s">
        <v>41</v>
      </c>
      <c r="C259" s="292">
        <v>1.5</v>
      </c>
      <c r="D259" s="55">
        <v>3674</v>
      </c>
      <c r="E259" s="55"/>
      <c r="F259" s="55"/>
      <c r="G259" s="55"/>
      <c r="H259" s="55"/>
      <c r="I259" s="55"/>
      <c r="J259" s="55"/>
      <c r="K259" s="55">
        <f>SUM(D259:J259)</f>
        <v>3674</v>
      </c>
      <c r="L259" s="55"/>
      <c r="M259" s="55"/>
      <c r="N259" s="55"/>
      <c r="O259" s="55"/>
      <c r="P259" s="55">
        <f>K259*10%</f>
        <v>367.40000000000003</v>
      </c>
      <c r="Q259" s="32">
        <f>SUM(K259:P259)*C259</f>
        <v>6062.1</v>
      </c>
      <c r="R259" s="56">
        <v>4</v>
      </c>
    </row>
    <row r="260" spans="1:18" ht="102.75" customHeight="1" thickBot="1">
      <c r="A260" s="429" t="s">
        <v>196</v>
      </c>
      <c r="B260" s="430"/>
      <c r="C260" s="295">
        <f>SUM(C256:C259)</f>
        <v>6.25</v>
      </c>
      <c r="D260" s="212"/>
      <c r="E260" s="212"/>
      <c r="F260" s="212"/>
      <c r="G260" s="212"/>
      <c r="H260" s="212"/>
      <c r="I260" s="212"/>
      <c r="J260" s="212"/>
      <c r="K260" s="212"/>
      <c r="L260" s="212"/>
      <c r="M260" s="212"/>
      <c r="N260" s="212"/>
      <c r="O260" s="212"/>
      <c r="P260" s="212"/>
      <c r="Q260" s="213">
        <f>SUM(Q256:Q259)</f>
        <v>36971.7</v>
      </c>
      <c r="R260" s="214"/>
    </row>
    <row r="261" spans="1:18" ht="38.25">
      <c r="A261" s="159"/>
      <c r="B261" s="211"/>
      <c r="C261" s="376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215"/>
      <c r="R261" s="159"/>
    </row>
    <row r="262" spans="1:18" ht="60.75" customHeight="1">
      <c r="A262" s="159"/>
      <c r="B262" s="194" t="s">
        <v>55</v>
      </c>
      <c r="C262" s="297">
        <f>C256+C257+C258</f>
        <v>4.75</v>
      </c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217">
        <f>Q256+Q257+Q258</f>
        <v>30909.6</v>
      </c>
      <c r="R262" s="159"/>
    </row>
    <row r="263" spans="1:18" ht="69" customHeight="1">
      <c r="A263" s="159"/>
      <c r="B263" s="194" t="s">
        <v>44</v>
      </c>
      <c r="C263" s="297">
        <f>C259</f>
        <v>1.5</v>
      </c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217">
        <f>Q259</f>
        <v>6062.1</v>
      </c>
      <c r="R263" s="159"/>
    </row>
    <row r="264" spans="1:18" ht="24" customHeight="1" hidden="1">
      <c r="A264" s="49"/>
      <c r="B264" s="49"/>
      <c r="C264" s="363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</row>
    <row r="265" spans="1:18" ht="68.25" customHeight="1" hidden="1">
      <c r="A265" s="171"/>
      <c r="B265" s="49"/>
      <c r="C265" s="363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</row>
    <row r="266" spans="1:18" ht="80.25" customHeight="1" hidden="1">
      <c r="A266" s="428" t="s">
        <v>56</v>
      </c>
      <c r="B266" s="428"/>
      <c r="C266" s="428"/>
      <c r="D266" s="428"/>
      <c r="E266" s="428"/>
      <c r="F266" s="428"/>
      <c r="G266" s="428"/>
      <c r="H266" s="428"/>
      <c r="I266" s="428"/>
      <c r="J266" s="428"/>
      <c r="K266" s="428"/>
      <c r="L266" s="428"/>
      <c r="M266" s="428"/>
      <c r="N266" s="428"/>
      <c r="O266" s="428"/>
      <c r="P266" s="428"/>
      <c r="Q266" s="428"/>
      <c r="R266" s="428"/>
    </row>
    <row r="267" spans="1:18" ht="79.5" customHeight="1" hidden="1">
      <c r="A267" s="123">
        <v>1</v>
      </c>
      <c r="B267" s="53" t="s">
        <v>160</v>
      </c>
      <c r="C267" s="292">
        <v>0.5</v>
      </c>
      <c r="D267" s="55">
        <v>5005</v>
      </c>
      <c r="E267" s="55">
        <f>D267*0.1</f>
        <v>500.5</v>
      </c>
      <c r="F267" s="55"/>
      <c r="G267" s="55"/>
      <c r="H267" s="55"/>
      <c r="I267" s="55"/>
      <c r="J267" s="55"/>
      <c r="K267" s="55">
        <f>SUM(D267:J267)</f>
        <v>5505.5</v>
      </c>
      <c r="L267" s="55"/>
      <c r="M267" s="55"/>
      <c r="N267" s="55">
        <f>K267*0.3</f>
        <v>1651.6499999999999</v>
      </c>
      <c r="O267" s="55"/>
      <c r="P267" s="82"/>
      <c r="Q267" s="32">
        <f>SUM(K267:P267)*C267</f>
        <v>3578.575</v>
      </c>
      <c r="R267" s="56">
        <v>9</v>
      </c>
    </row>
    <row r="268" spans="1:18" ht="76.5" customHeight="1" hidden="1">
      <c r="A268" s="123">
        <v>2</v>
      </c>
      <c r="B268" s="53" t="s">
        <v>161</v>
      </c>
      <c r="C268" s="292">
        <v>2.5</v>
      </c>
      <c r="D268" s="55">
        <v>5005</v>
      </c>
      <c r="E268" s="55"/>
      <c r="F268" s="55"/>
      <c r="G268" s="55"/>
      <c r="H268" s="55"/>
      <c r="I268" s="55"/>
      <c r="J268" s="55"/>
      <c r="K268" s="55">
        <f>SUM(D268:J268)</f>
        <v>5005</v>
      </c>
      <c r="L268" s="55"/>
      <c r="M268" s="55"/>
      <c r="N268" s="55">
        <f>K268*0.3</f>
        <v>1501.5</v>
      </c>
      <c r="O268" s="55"/>
      <c r="P268" s="82"/>
      <c r="Q268" s="32">
        <f>SUM(K268:P268)*C268</f>
        <v>16266.25</v>
      </c>
      <c r="R268" s="56">
        <v>9</v>
      </c>
    </row>
    <row r="269" spans="1:18" ht="58.5" customHeight="1" hidden="1">
      <c r="A269" s="123">
        <v>3</v>
      </c>
      <c r="B269" s="53" t="s">
        <v>161</v>
      </c>
      <c r="C269" s="292">
        <v>1</v>
      </c>
      <c r="D269" s="55">
        <v>5005</v>
      </c>
      <c r="E269" s="55"/>
      <c r="F269" s="55"/>
      <c r="G269" s="55"/>
      <c r="H269" s="55"/>
      <c r="I269" s="55"/>
      <c r="J269" s="55"/>
      <c r="K269" s="55">
        <f>SUM(D269:J269)</f>
        <v>5005</v>
      </c>
      <c r="L269" s="55"/>
      <c r="M269" s="55"/>
      <c r="N269" s="55">
        <f>K269*0.2</f>
        <v>1001</v>
      </c>
      <c r="O269" s="55"/>
      <c r="P269" s="82"/>
      <c r="Q269" s="32">
        <f>SUM(K269:P269)*C269</f>
        <v>6006</v>
      </c>
      <c r="R269" s="56">
        <v>9</v>
      </c>
    </row>
    <row r="270" spans="1:18" ht="59.25" customHeight="1" hidden="1">
      <c r="A270" s="123">
        <v>4</v>
      </c>
      <c r="B270" s="53" t="s">
        <v>258</v>
      </c>
      <c r="C270" s="292">
        <v>1</v>
      </c>
      <c r="D270" s="55">
        <v>4745</v>
      </c>
      <c r="E270" s="55"/>
      <c r="F270" s="55"/>
      <c r="G270" s="55"/>
      <c r="H270" s="55"/>
      <c r="I270" s="55"/>
      <c r="J270" s="55"/>
      <c r="K270" s="55">
        <f>SUM(D270:J270)</f>
        <v>4745</v>
      </c>
      <c r="L270" s="55"/>
      <c r="M270" s="55"/>
      <c r="N270" s="55">
        <f>K270*0.2</f>
        <v>949</v>
      </c>
      <c r="O270" s="55"/>
      <c r="P270" s="82"/>
      <c r="Q270" s="32">
        <f>SUM(K270:P270)*C270</f>
        <v>5694</v>
      </c>
      <c r="R270" s="56">
        <v>8</v>
      </c>
    </row>
    <row r="271" spans="1:18" ht="79.5" customHeight="1" hidden="1">
      <c r="A271" s="123">
        <v>5</v>
      </c>
      <c r="B271" s="53" t="s">
        <v>42</v>
      </c>
      <c r="C271" s="292">
        <v>4.5</v>
      </c>
      <c r="D271" s="55">
        <v>3414</v>
      </c>
      <c r="E271" s="55"/>
      <c r="F271" s="55"/>
      <c r="G271" s="55"/>
      <c r="H271" s="55"/>
      <c r="I271" s="55"/>
      <c r="J271" s="55"/>
      <c r="K271" s="55">
        <f>SUM(D271:J271)</f>
        <v>3414</v>
      </c>
      <c r="L271" s="55"/>
      <c r="M271" s="55"/>
      <c r="N271" s="55"/>
      <c r="O271" s="55"/>
      <c r="P271" s="82">
        <f>K271*10%</f>
        <v>341.40000000000003</v>
      </c>
      <c r="Q271" s="32">
        <f>SUM(K271:P271)*C271</f>
        <v>16899.3</v>
      </c>
      <c r="R271" s="56">
        <v>3</v>
      </c>
    </row>
    <row r="272" spans="1:18" ht="70.5" customHeight="1" hidden="1">
      <c r="A272" s="441" t="s">
        <v>18</v>
      </c>
      <c r="B272" s="442"/>
      <c r="C272" s="301">
        <f>SUM(C267:C271)</f>
        <v>9.5</v>
      </c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82"/>
      <c r="Q272" s="83">
        <f>SUM(Q267:Q271)</f>
        <v>48444.125</v>
      </c>
      <c r="R272" s="56"/>
    </row>
    <row r="273" spans="1:18" ht="2.25" customHeight="1" hidden="1">
      <c r="A273" s="434"/>
      <c r="B273" s="434"/>
      <c r="C273" s="307"/>
      <c r="D273" s="219"/>
      <c r="E273" s="219"/>
      <c r="F273" s="219"/>
      <c r="G273" s="219"/>
      <c r="H273" s="219"/>
      <c r="I273" s="219"/>
      <c r="J273" s="219"/>
      <c r="K273" s="219"/>
      <c r="L273" s="219"/>
      <c r="M273" s="219"/>
      <c r="N273" s="219"/>
      <c r="O273" s="219"/>
      <c r="P273" s="219"/>
      <c r="Q273" s="220"/>
      <c r="R273" s="49"/>
    </row>
    <row r="274" spans="1:18" ht="53.25" customHeight="1" hidden="1">
      <c r="A274" s="435" t="s">
        <v>55</v>
      </c>
      <c r="B274" s="436"/>
      <c r="C274" s="379"/>
      <c r="D274" s="219"/>
      <c r="E274" s="219"/>
      <c r="F274" s="219"/>
      <c r="G274" s="219"/>
      <c r="H274" s="219"/>
      <c r="I274" s="219"/>
      <c r="J274" s="219"/>
      <c r="K274" s="219"/>
      <c r="L274" s="219"/>
      <c r="M274" s="219"/>
      <c r="N274" s="219"/>
      <c r="O274" s="219"/>
      <c r="P274" s="219"/>
      <c r="Q274" s="338"/>
      <c r="R274" s="49"/>
    </row>
    <row r="275" spans="1:18" ht="58.5" customHeight="1" hidden="1">
      <c r="A275" s="435" t="s">
        <v>44</v>
      </c>
      <c r="B275" s="435"/>
      <c r="C275" s="379"/>
      <c r="D275" s="219"/>
      <c r="E275" s="219"/>
      <c r="F275" s="219"/>
      <c r="G275" s="219"/>
      <c r="H275" s="219"/>
      <c r="I275" s="219"/>
      <c r="J275" s="219"/>
      <c r="K275" s="219"/>
      <c r="L275" s="219"/>
      <c r="M275" s="219"/>
      <c r="N275" s="219"/>
      <c r="O275" s="219"/>
      <c r="P275" s="219"/>
      <c r="Q275" s="221"/>
      <c r="R275" s="49"/>
    </row>
    <row r="276" spans="1:18" ht="183" customHeight="1">
      <c r="A276" s="178"/>
      <c r="B276" s="49"/>
      <c r="C276" s="363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</row>
    <row r="277" spans="1:18" ht="42.75" customHeight="1">
      <c r="A277" s="425" t="s">
        <v>95</v>
      </c>
      <c r="B277" s="425"/>
      <c r="C277" s="425"/>
      <c r="D277" s="425"/>
      <c r="E277" s="425"/>
      <c r="F277" s="425"/>
      <c r="G277" s="425"/>
      <c r="H277" s="425"/>
      <c r="I277" s="425"/>
      <c r="J277" s="425"/>
      <c r="K277" s="425"/>
      <c r="L277" s="425"/>
      <c r="M277" s="425"/>
      <c r="N277" s="425"/>
      <c r="O277" s="425"/>
      <c r="P277" s="425"/>
      <c r="Q277" s="425"/>
      <c r="R277" s="425"/>
    </row>
    <row r="278" spans="1:18" ht="37.5">
      <c r="A278" s="50">
        <v>1</v>
      </c>
      <c r="B278" s="51">
        <v>2</v>
      </c>
      <c r="C278" s="397">
        <v>3</v>
      </c>
      <c r="D278" s="51">
        <v>4</v>
      </c>
      <c r="E278" s="51">
        <v>5</v>
      </c>
      <c r="F278" s="51">
        <v>6</v>
      </c>
      <c r="G278" s="51">
        <v>7</v>
      </c>
      <c r="H278" s="51">
        <v>8</v>
      </c>
      <c r="I278" s="51">
        <v>9</v>
      </c>
      <c r="J278" s="51">
        <v>10</v>
      </c>
      <c r="K278" s="51">
        <v>11</v>
      </c>
      <c r="L278" s="51">
        <v>12</v>
      </c>
      <c r="M278" s="51">
        <v>13</v>
      </c>
      <c r="N278" s="51">
        <v>14</v>
      </c>
      <c r="O278" s="51">
        <v>15</v>
      </c>
      <c r="P278" s="51">
        <v>16</v>
      </c>
      <c r="Q278" s="51">
        <v>17</v>
      </c>
      <c r="R278" s="51">
        <v>18</v>
      </c>
    </row>
    <row r="279" spans="1:18" ht="114.75">
      <c r="A279" s="94">
        <v>1</v>
      </c>
      <c r="B279" s="53" t="s">
        <v>43</v>
      </c>
      <c r="C279" s="292">
        <v>0.5</v>
      </c>
      <c r="D279" s="54">
        <v>6567</v>
      </c>
      <c r="E279" s="55">
        <f>D279*0.2</f>
        <v>1313.4</v>
      </c>
      <c r="F279" s="55">
        <f>(D279+E279)*0.3</f>
        <v>2364.12</v>
      </c>
      <c r="G279" s="55"/>
      <c r="H279" s="54">
        <f aca="true" t="shared" si="23" ref="H279:H286">(D279+E279+F279)*0.15</f>
        <v>1536.678</v>
      </c>
      <c r="I279" s="55"/>
      <c r="J279" s="55"/>
      <c r="K279" s="55">
        <f aca="true" t="shared" si="24" ref="K279:K286">SUM(D279:J279)</f>
        <v>11781.198</v>
      </c>
      <c r="L279" s="55"/>
      <c r="M279" s="55"/>
      <c r="N279" s="54">
        <f aca="true" t="shared" si="25" ref="N279:N285">K279*0.3</f>
        <v>3534.3594</v>
      </c>
      <c r="O279" s="55"/>
      <c r="P279" s="82"/>
      <c r="Q279" s="32">
        <f aca="true" t="shared" si="26" ref="Q279:Q286">SUM(K279:P279)*C279</f>
        <v>7657.7787</v>
      </c>
      <c r="R279" s="56">
        <v>13</v>
      </c>
    </row>
    <row r="280" spans="1:18" ht="38.25">
      <c r="A280" s="94">
        <v>2</v>
      </c>
      <c r="B280" s="53" t="s">
        <v>145</v>
      </c>
      <c r="C280" s="292">
        <v>4</v>
      </c>
      <c r="D280" s="54">
        <v>6567</v>
      </c>
      <c r="E280" s="55"/>
      <c r="F280" s="55">
        <f>(D280+E280)*0.2</f>
        <v>1313.4</v>
      </c>
      <c r="G280" s="55"/>
      <c r="H280" s="54">
        <f t="shared" si="23"/>
        <v>1182.06</v>
      </c>
      <c r="I280" s="55"/>
      <c r="J280" s="55"/>
      <c r="K280" s="55">
        <f>SUM(D280:J280)</f>
        <v>9062.46</v>
      </c>
      <c r="L280" s="55"/>
      <c r="M280" s="55"/>
      <c r="N280" s="54">
        <f t="shared" si="25"/>
        <v>2718.738</v>
      </c>
      <c r="O280" s="55"/>
      <c r="P280" s="82"/>
      <c r="Q280" s="32">
        <f>SUM(K280:P280)*C280</f>
        <v>47124.791999999994</v>
      </c>
      <c r="R280" s="56">
        <v>13</v>
      </c>
    </row>
    <row r="281" spans="1:18" ht="38.25">
      <c r="A281" s="94">
        <v>3</v>
      </c>
      <c r="B281" s="53" t="s">
        <v>195</v>
      </c>
      <c r="C281" s="292">
        <v>0.5</v>
      </c>
      <c r="D281" s="54">
        <v>7001</v>
      </c>
      <c r="E281" s="55"/>
      <c r="F281" s="55">
        <f>(D281+E281)*0.2</f>
        <v>1400.2</v>
      </c>
      <c r="G281" s="55"/>
      <c r="H281" s="54">
        <f t="shared" si="23"/>
        <v>1260.18</v>
      </c>
      <c r="I281" s="55"/>
      <c r="J281" s="55"/>
      <c r="K281" s="55">
        <f t="shared" si="24"/>
        <v>9661.380000000001</v>
      </c>
      <c r="L281" s="55"/>
      <c r="M281" s="55"/>
      <c r="N281" s="54">
        <f t="shared" si="25"/>
        <v>2898.414</v>
      </c>
      <c r="O281" s="55"/>
      <c r="P281" s="82"/>
      <c r="Q281" s="32">
        <f t="shared" si="26"/>
        <v>6279.897000000001</v>
      </c>
      <c r="R281" s="56">
        <v>14</v>
      </c>
    </row>
    <row r="282" spans="1:18" ht="76.5">
      <c r="A282" s="94">
        <v>4</v>
      </c>
      <c r="B282" s="53" t="s">
        <v>146</v>
      </c>
      <c r="C282" s="292">
        <v>0.5</v>
      </c>
      <c r="D282" s="54">
        <v>5265</v>
      </c>
      <c r="E282" s="54">
        <f>D282*0.1</f>
        <v>526.5</v>
      </c>
      <c r="F282" s="54"/>
      <c r="G282" s="54"/>
      <c r="H282" s="54">
        <f t="shared" si="23"/>
        <v>868.725</v>
      </c>
      <c r="I282" s="54"/>
      <c r="J282" s="54"/>
      <c r="K282" s="54">
        <f t="shared" si="24"/>
        <v>6660.225</v>
      </c>
      <c r="L282" s="54"/>
      <c r="M282" s="54"/>
      <c r="N282" s="54">
        <f t="shared" si="25"/>
        <v>1998.0675</v>
      </c>
      <c r="O282" s="54"/>
      <c r="P282" s="189"/>
      <c r="Q282" s="32">
        <f t="shared" si="26"/>
        <v>4329.14625</v>
      </c>
      <c r="R282" s="56">
        <v>10</v>
      </c>
    </row>
    <row r="283" spans="1:18" ht="76.5">
      <c r="A283" s="94">
        <v>5</v>
      </c>
      <c r="B283" s="53" t="s">
        <v>147</v>
      </c>
      <c r="C283" s="292">
        <v>5.5</v>
      </c>
      <c r="D283" s="54">
        <v>5265</v>
      </c>
      <c r="E283" s="54"/>
      <c r="F283" s="54"/>
      <c r="G283" s="54"/>
      <c r="H283" s="54">
        <f t="shared" si="23"/>
        <v>789.75</v>
      </c>
      <c r="I283" s="54"/>
      <c r="J283" s="54"/>
      <c r="K283" s="54">
        <f t="shared" si="24"/>
        <v>6054.75</v>
      </c>
      <c r="L283" s="54"/>
      <c r="M283" s="54"/>
      <c r="N283" s="54">
        <f t="shared" si="25"/>
        <v>1816.425</v>
      </c>
      <c r="O283" s="54"/>
      <c r="P283" s="189"/>
      <c r="Q283" s="31">
        <f t="shared" si="26"/>
        <v>43291.4625</v>
      </c>
      <c r="R283" s="190">
        <v>10</v>
      </c>
    </row>
    <row r="284" spans="1:18" ht="76.5">
      <c r="A284" s="94">
        <v>6</v>
      </c>
      <c r="B284" s="53" t="s">
        <v>91</v>
      </c>
      <c r="C284" s="292">
        <v>5</v>
      </c>
      <c r="D284" s="54">
        <v>5265</v>
      </c>
      <c r="E284" s="54"/>
      <c r="F284" s="54"/>
      <c r="G284" s="54"/>
      <c r="H284" s="54">
        <f t="shared" si="23"/>
        <v>789.75</v>
      </c>
      <c r="I284" s="54"/>
      <c r="J284" s="54"/>
      <c r="K284" s="54">
        <f t="shared" si="24"/>
        <v>6054.75</v>
      </c>
      <c r="L284" s="54"/>
      <c r="M284" s="54"/>
      <c r="N284" s="54">
        <f t="shared" si="25"/>
        <v>1816.425</v>
      </c>
      <c r="O284" s="54"/>
      <c r="P284" s="189"/>
      <c r="Q284" s="31">
        <f t="shared" si="26"/>
        <v>39355.875</v>
      </c>
      <c r="R284" s="56">
        <v>10</v>
      </c>
    </row>
    <row r="285" spans="1:18" ht="114.75">
      <c r="A285" s="94">
        <v>7</v>
      </c>
      <c r="B285" s="53" t="s">
        <v>148</v>
      </c>
      <c r="C285" s="292">
        <v>5</v>
      </c>
      <c r="D285" s="54">
        <v>5265</v>
      </c>
      <c r="E285" s="54"/>
      <c r="F285" s="54"/>
      <c r="G285" s="54"/>
      <c r="H285" s="54">
        <f t="shared" si="23"/>
        <v>789.75</v>
      </c>
      <c r="I285" s="54"/>
      <c r="J285" s="54"/>
      <c r="K285" s="54">
        <f t="shared" si="24"/>
        <v>6054.75</v>
      </c>
      <c r="L285" s="54"/>
      <c r="M285" s="54"/>
      <c r="N285" s="54">
        <f t="shared" si="25"/>
        <v>1816.425</v>
      </c>
      <c r="O285" s="54"/>
      <c r="P285" s="222"/>
      <c r="Q285" s="31">
        <f t="shared" si="26"/>
        <v>39355.875</v>
      </c>
      <c r="R285" s="56">
        <v>10</v>
      </c>
    </row>
    <row r="286" spans="1:18" ht="68.25" customHeight="1">
      <c r="A286" s="94">
        <v>8</v>
      </c>
      <c r="B286" s="53" t="s">
        <v>93</v>
      </c>
      <c r="C286" s="292">
        <v>5</v>
      </c>
      <c r="D286" s="54">
        <v>3674</v>
      </c>
      <c r="E286" s="54"/>
      <c r="F286" s="54"/>
      <c r="G286" s="54"/>
      <c r="H286" s="54">
        <f t="shared" si="23"/>
        <v>551.1</v>
      </c>
      <c r="I286" s="54"/>
      <c r="J286" s="54"/>
      <c r="K286" s="54">
        <f t="shared" si="24"/>
        <v>4225.1</v>
      </c>
      <c r="L286" s="54"/>
      <c r="M286" s="54"/>
      <c r="N286" s="54"/>
      <c r="O286" s="54"/>
      <c r="P286" s="222">
        <f>D286*10%</f>
        <v>367.40000000000003</v>
      </c>
      <c r="Q286" s="32">
        <f t="shared" si="26"/>
        <v>22962.5</v>
      </c>
      <c r="R286" s="56">
        <v>4</v>
      </c>
    </row>
    <row r="287" spans="1:18" ht="45" customHeight="1" thickBot="1">
      <c r="A287" s="426" t="s">
        <v>18</v>
      </c>
      <c r="B287" s="427"/>
      <c r="C287" s="295">
        <f>SUM(C279:C286)</f>
        <v>26</v>
      </c>
      <c r="D287" s="212"/>
      <c r="E287" s="212"/>
      <c r="F287" s="212"/>
      <c r="G287" s="212"/>
      <c r="H287" s="212"/>
      <c r="I287" s="212"/>
      <c r="J287" s="212"/>
      <c r="K287" s="212"/>
      <c r="L287" s="212"/>
      <c r="M287" s="212"/>
      <c r="N287" s="212"/>
      <c r="O287" s="212"/>
      <c r="P287" s="223"/>
      <c r="Q287" s="308">
        <f>SUM(Q279:Q286)</f>
        <v>210357.32645</v>
      </c>
      <c r="R287" s="214"/>
    </row>
    <row r="288" spans="1:18" ht="0.75" customHeight="1">
      <c r="A288" s="159"/>
      <c r="B288" s="211"/>
      <c r="C288" s="376"/>
      <c r="D288" s="224"/>
      <c r="E288" s="224"/>
      <c r="F288" s="224"/>
      <c r="G288" s="224"/>
      <c r="H288" s="225"/>
      <c r="I288" s="224"/>
      <c r="J288" s="224"/>
      <c r="K288" s="224"/>
      <c r="L288" s="224"/>
      <c r="M288" s="224"/>
      <c r="N288" s="224"/>
      <c r="O288" s="224"/>
      <c r="P288" s="224"/>
      <c r="Q288" s="226"/>
      <c r="R288" s="159"/>
    </row>
    <row r="289" spans="1:29" s="6" customFormat="1" ht="30.75" customHeight="1">
      <c r="A289" s="159"/>
      <c r="B289" s="155" t="s">
        <v>54</v>
      </c>
      <c r="C289" s="302">
        <f>C279+C280+C281</f>
        <v>5</v>
      </c>
      <c r="D289" s="224"/>
      <c r="E289" s="224"/>
      <c r="F289" s="224"/>
      <c r="G289" s="224"/>
      <c r="H289" s="225"/>
      <c r="I289" s="224"/>
      <c r="J289" s="224"/>
      <c r="K289" s="224"/>
      <c r="L289" s="224"/>
      <c r="M289" s="224"/>
      <c r="N289" s="224"/>
      <c r="O289" s="224"/>
      <c r="P289" s="224"/>
      <c r="Q289" s="227">
        <f>SUM(Q279:Q281)</f>
        <v>61062.467699999994</v>
      </c>
      <c r="R289" s="159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s="6" customFormat="1" ht="47.25" customHeight="1">
      <c r="A290" s="159"/>
      <c r="B290" s="155" t="s">
        <v>55</v>
      </c>
      <c r="C290" s="302">
        <f>SUM(C282:C285)</f>
        <v>16</v>
      </c>
      <c r="D290" s="224"/>
      <c r="E290" s="224"/>
      <c r="F290" s="224"/>
      <c r="G290" s="224"/>
      <c r="H290" s="225"/>
      <c r="I290" s="224"/>
      <c r="J290" s="224"/>
      <c r="K290" s="224"/>
      <c r="L290" s="224"/>
      <c r="M290" s="224"/>
      <c r="N290" s="224"/>
      <c r="O290" s="224"/>
      <c r="P290" s="224"/>
      <c r="Q290" s="227">
        <f>SUM(Q282:Q285)</f>
        <v>126332.35875</v>
      </c>
      <c r="R290" s="159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s="6" customFormat="1" ht="39" customHeight="1">
      <c r="A291" s="159"/>
      <c r="B291" s="155" t="s">
        <v>44</v>
      </c>
      <c r="C291" s="302">
        <f>C286</f>
        <v>5</v>
      </c>
      <c r="D291" s="224"/>
      <c r="E291" s="224"/>
      <c r="F291" s="224"/>
      <c r="G291" s="224"/>
      <c r="H291" s="225"/>
      <c r="I291" s="224"/>
      <c r="J291" s="224"/>
      <c r="K291" s="224"/>
      <c r="L291" s="224"/>
      <c r="M291" s="224"/>
      <c r="N291" s="224"/>
      <c r="O291" s="224"/>
      <c r="P291" s="224"/>
      <c r="Q291" s="216">
        <f>Q286</f>
        <v>22962.5</v>
      </c>
      <c r="R291" s="159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18" ht="39" customHeight="1">
      <c r="A292" s="265" t="s">
        <v>315</v>
      </c>
      <c r="B292" s="264"/>
      <c r="C292" s="380"/>
      <c r="D292" s="264"/>
      <c r="E292" s="264"/>
      <c r="F292" s="264"/>
      <c r="G292" s="264"/>
      <c r="H292" s="264"/>
      <c r="I292" s="264"/>
      <c r="J292" s="264"/>
      <c r="K292" s="264"/>
      <c r="L292" s="264"/>
      <c r="M292" s="264"/>
      <c r="N292" s="264"/>
      <c r="O292" s="264"/>
      <c r="P292" s="264"/>
      <c r="Q292" s="264"/>
      <c r="R292" s="264"/>
    </row>
    <row r="293" spans="1:18" ht="16.5" customHeight="1" hidden="1">
      <c r="A293" s="428"/>
      <c r="B293" s="428"/>
      <c r="C293" s="428"/>
      <c r="D293" s="428"/>
      <c r="E293" s="428"/>
      <c r="F293" s="428"/>
      <c r="G293" s="428"/>
      <c r="H293" s="428"/>
      <c r="I293" s="428"/>
      <c r="J293" s="428"/>
      <c r="K293" s="428"/>
      <c r="L293" s="428"/>
      <c r="M293" s="428"/>
      <c r="N293" s="428"/>
      <c r="O293" s="428"/>
      <c r="P293" s="428"/>
      <c r="Q293" s="428"/>
      <c r="R293" s="428"/>
    </row>
    <row r="294" spans="1:18" ht="37.5">
      <c r="A294" s="50">
        <v>1</v>
      </c>
      <c r="B294" s="51">
        <v>2</v>
      </c>
      <c r="C294" s="362">
        <v>3</v>
      </c>
      <c r="D294" s="51">
        <v>4</v>
      </c>
      <c r="E294" s="51">
        <v>5</v>
      </c>
      <c r="F294" s="51">
        <v>6</v>
      </c>
      <c r="G294" s="51">
        <v>7</v>
      </c>
      <c r="H294" s="51">
        <v>8</v>
      </c>
      <c r="I294" s="51">
        <v>9</v>
      </c>
      <c r="J294" s="51">
        <v>10</v>
      </c>
      <c r="K294" s="51">
        <v>11</v>
      </c>
      <c r="L294" s="51">
        <v>12</v>
      </c>
      <c r="M294" s="51">
        <v>13</v>
      </c>
      <c r="N294" s="51">
        <v>14</v>
      </c>
      <c r="O294" s="51">
        <v>15</v>
      </c>
      <c r="P294" s="51">
        <v>16</v>
      </c>
      <c r="Q294" s="51">
        <v>17</v>
      </c>
      <c r="R294" s="51">
        <v>18</v>
      </c>
    </row>
    <row r="295" spans="1:18" ht="83.25" customHeight="1">
      <c r="A295" s="94">
        <v>1</v>
      </c>
      <c r="B295" s="319" t="s">
        <v>230</v>
      </c>
      <c r="C295" s="292">
        <v>1</v>
      </c>
      <c r="D295" s="54">
        <v>6567</v>
      </c>
      <c r="E295" s="54">
        <f>D295*0.1</f>
        <v>656.7</v>
      </c>
      <c r="F295" s="54"/>
      <c r="G295" s="54"/>
      <c r="H295" s="54"/>
      <c r="I295" s="54"/>
      <c r="J295" s="54"/>
      <c r="K295" s="54">
        <f aca="true" t="shared" si="27" ref="K295:K306">SUM(D295:J295)</f>
        <v>7223.7</v>
      </c>
      <c r="L295" s="54"/>
      <c r="M295" s="54"/>
      <c r="N295" s="54">
        <f aca="true" t="shared" si="28" ref="N295:N300">K295*0.3</f>
        <v>2167.1099999999997</v>
      </c>
      <c r="O295" s="54"/>
      <c r="P295" s="189"/>
      <c r="Q295" s="31">
        <f aca="true" t="shared" si="29" ref="Q295:Q306">SUM(K295:P295)*C295</f>
        <v>9390.81</v>
      </c>
      <c r="R295" s="56">
        <v>13</v>
      </c>
    </row>
    <row r="296" spans="1:18" ht="33.75" customHeight="1">
      <c r="A296" s="94">
        <v>2</v>
      </c>
      <c r="B296" s="319" t="s">
        <v>138</v>
      </c>
      <c r="C296" s="292">
        <v>1.5</v>
      </c>
      <c r="D296" s="90">
        <v>6567</v>
      </c>
      <c r="E296" s="90"/>
      <c r="F296" s="90"/>
      <c r="G296" s="90"/>
      <c r="H296" s="90"/>
      <c r="I296" s="90"/>
      <c r="J296" s="90"/>
      <c r="K296" s="55">
        <f t="shared" si="27"/>
        <v>6567</v>
      </c>
      <c r="L296" s="90"/>
      <c r="M296" s="90"/>
      <c r="N296" s="54">
        <f t="shared" si="28"/>
        <v>1970.1</v>
      </c>
      <c r="O296" s="55"/>
      <c r="P296" s="82"/>
      <c r="Q296" s="32">
        <f t="shared" si="29"/>
        <v>12805.650000000001</v>
      </c>
      <c r="R296" s="56">
        <v>13</v>
      </c>
    </row>
    <row r="297" spans="1:18" ht="33.75" customHeight="1">
      <c r="A297" s="94">
        <v>3</v>
      </c>
      <c r="B297" s="319" t="s">
        <v>306</v>
      </c>
      <c r="C297" s="292">
        <v>1</v>
      </c>
      <c r="D297" s="90">
        <v>6567</v>
      </c>
      <c r="E297" s="90"/>
      <c r="F297" s="90"/>
      <c r="G297" s="90"/>
      <c r="H297" s="90"/>
      <c r="I297" s="90"/>
      <c r="J297" s="90"/>
      <c r="K297" s="55">
        <f t="shared" si="27"/>
        <v>6567</v>
      </c>
      <c r="L297" s="90"/>
      <c r="M297" s="90"/>
      <c r="N297" s="54">
        <f t="shared" si="28"/>
        <v>1970.1</v>
      </c>
      <c r="O297" s="55"/>
      <c r="P297" s="82"/>
      <c r="Q297" s="32">
        <f t="shared" si="29"/>
        <v>8537.1</v>
      </c>
      <c r="R297" s="56">
        <v>13</v>
      </c>
    </row>
    <row r="298" spans="1:18" ht="33.75" customHeight="1">
      <c r="A298" s="94">
        <v>4</v>
      </c>
      <c r="B298" s="319" t="s">
        <v>307</v>
      </c>
      <c r="C298" s="292">
        <v>1</v>
      </c>
      <c r="D298" s="90">
        <v>5699</v>
      </c>
      <c r="E298" s="90"/>
      <c r="F298" s="90"/>
      <c r="G298" s="90"/>
      <c r="H298" s="90"/>
      <c r="I298" s="90"/>
      <c r="J298" s="90"/>
      <c r="K298" s="55">
        <f t="shared" si="27"/>
        <v>5699</v>
      </c>
      <c r="L298" s="90"/>
      <c r="M298" s="90"/>
      <c r="N298" s="54">
        <f t="shared" si="28"/>
        <v>1709.7</v>
      </c>
      <c r="O298" s="55"/>
      <c r="P298" s="82"/>
      <c r="Q298" s="32">
        <f t="shared" si="29"/>
        <v>7408.7</v>
      </c>
      <c r="R298" s="56">
        <v>11</v>
      </c>
    </row>
    <row r="299" spans="1:18" ht="33.75" customHeight="1">
      <c r="A299" s="94">
        <v>5</v>
      </c>
      <c r="B299" s="319" t="s">
        <v>308</v>
      </c>
      <c r="C299" s="292">
        <v>1</v>
      </c>
      <c r="D299" s="90">
        <v>5699</v>
      </c>
      <c r="E299" s="90"/>
      <c r="F299" s="90"/>
      <c r="G299" s="90"/>
      <c r="H299" s="90"/>
      <c r="I299" s="90"/>
      <c r="J299" s="90"/>
      <c r="K299" s="55">
        <f t="shared" si="27"/>
        <v>5699</v>
      </c>
      <c r="L299" s="90"/>
      <c r="M299" s="90"/>
      <c r="N299" s="54">
        <f t="shared" si="28"/>
        <v>1709.7</v>
      </c>
      <c r="O299" s="55"/>
      <c r="P299" s="82"/>
      <c r="Q299" s="32">
        <f t="shared" si="29"/>
        <v>7408.7</v>
      </c>
      <c r="R299" s="56">
        <v>11</v>
      </c>
    </row>
    <row r="300" spans="1:18" s="8" customFormat="1" ht="62.25" customHeight="1">
      <c r="A300" s="94">
        <v>6</v>
      </c>
      <c r="B300" s="319" t="s">
        <v>137</v>
      </c>
      <c r="C300" s="292">
        <v>2</v>
      </c>
      <c r="D300" s="90">
        <v>5005</v>
      </c>
      <c r="E300" s="90">
        <f>D300*0.1</f>
        <v>500.5</v>
      </c>
      <c r="F300" s="90"/>
      <c r="G300" s="90"/>
      <c r="H300" s="90"/>
      <c r="I300" s="90"/>
      <c r="J300" s="90"/>
      <c r="K300" s="55">
        <f t="shared" si="27"/>
        <v>5505.5</v>
      </c>
      <c r="L300" s="90"/>
      <c r="M300" s="90"/>
      <c r="N300" s="54">
        <f t="shared" si="28"/>
        <v>1651.6499999999999</v>
      </c>
      <c r="O300" s="55"/>
      <c r="P300" s="82"/>
      <c r="Q300" s="32">
        <f t="shared" si="29"/>
        <v>14314.3</v>
      </c>
      <c r="R300" s="56">
        <v>9</v>
      </c>
    </row>
    <row r="301" spans="1:18" ht="52.5" customHeight="1">
      <c r="A301" s="94">
        <v>7</v>
      </c>
      <c r="B301" s="319" t="s">
        <v>310</v>
      </c>
      <c r="C301" s="292">
        <v>4</v>
      </c>
      <c r="D301" s="90">
        <v>5005</v>
      </c>
      <c r="E301" s="55"/>
      <c r="F301" s="55"/>
      <c r="G301" s="55"/>
      <c r="H301" s="55"/>
      <c r="I301" s="55"/>
      <c r="J301" s="55"/>
      <c r="K301" s="55">
        <f t="shared" si="27"/>
        <v>5005</v>
      </c>
      <c r="L301" s="55"/>
      <c r="M301" s="55"/>
      <c r="N301" s="90">
        <f>K301*0.2</f>
        <v>1001</v>
      </c>
      <c r="O301" s="55"/>
      <c r="P301" s="82"/>
      <c r="Q301" s="32">
        <f t="shared" si="29"/>
        <v>24024</v>
      </c>
      <c r="R301" s="56">
        <v>9</v>
      </c>
    </row>
    <row r="302" spans="1:18" ht="70.5" hidden="1">
      <c r="A302" s="94">
        <v>6</v>
      </c>
      <c r="B302" s="319" t="s">
        <v>126</v>
      </c>
      <c r="C302" s="292">
        <v>0</v>
      </c>
      <c r="D302" s="90">
        <v>2555</v>
      </c>
      <c r="E302" s="55"/>
      <c r="F302" s="55"/>
      <c r="G302" s="55"/>
      <c r="H302" s="55"/>
      <c r="I302" s="55"/>
      <c r="J302" s="55"/>
      <c r="K302" s="55">
        <f t="shared" si="27"/>
        <v>2555</v>
      </c>
      <c r="L302" s="55"/>
      <c r="M302" s="55"/>
      <c r="N302" s="90">
        <f>K302*0.3</f>
        <v>766.5</v>
      </c>
      <c r="O302" s="55"/>
      <c r="P302" s="82"/>
      <c r="Q302" s="32">
        <f t="shared" si="29"/>
        <v>0</v>
      </c>
      <c r="R302" s="56">
        <v>6</v>
      </c>
    </row>
    <row r="303" spans="1:18" ht="62.25" customHeight="1">
      <c r="A303" s="94">
        <v>8</v>
      </c>
      <c r="B303" s="319" t="s">
        <v>246</v>
      </c>
      <c r="C303" s="292">
        <v>18</v>
      </c>
      <c r="D303" s="90">
        <v>5005</v>
      </c>
      <c r="E303" s="55"/>
      <c r="F303" s="55"/>
      <c r="G303" s="55"/>
      <c r="H303" s="67"/>
      <c r="I303" s="55"/>
      <c r="J303" s="55"/>
      <c r="K303" s="55">
        <f t="shared" si="27"/>
        <v>5005</v>
      </c>
      <c r="L303" s="55"/>
      <c r="M303" s="55"/>
      <c r="N303" s="90">
        <f>K303*0.3</f>
        <v>1501.5</v>
      </c>
      <c r="O303" s="55"/>
      <c r="P303" s="82"/>
      <c r="Q303" s="32">
        <f t="shared" si="29"/>
        <v>117117</v>
      </c>
      <c r="R303" s="56">
        <v>9</v>
      </c>
    </row>
    <row r="304" spans="1:18" ht="64.5" customHeight="1">
      <c r="A304" s="94">
        <v>9</v>
      </c>
      <c r="B304" s="319" t="s">
        <v>94</v>
      </c>
      <c r="C304" s="292">
        <v>18</v>
      </c>
      <c r="D304" s="55">
        <v>3674</v>
      </c>
      <c r="E304" s="55"/>
      <c r="F304" s="55"/>
      <c r="G304" s="55"/>
      <c r="H304" s="55"/>
      <c r="I304" s="55"/>
      <c r="J304" s="55"/>
      <c r="K304" s="55">
        <f t="shared" si="27"/>
        <v>3674</v>
      </c>
      <c r="L304" s="55"/>
      <c r="M304" s="55"/>
      <c r="N304" s="55"/>
      <c r="O304" s="55"/>
      <c r="P304" s="82">
        <f>K304*10%</f>
        <v>367.40000000000003</v>
      </c>
      <c r="Q304" s="32">
        <f t="shared" si="29"/>
        <v>72745.2</v>
      </c>
      <c r="R304" s="56">
        <v>4</v>
      </c>
    </row>
    <row r="305" spans="1:18" ht="37.5" customHeight="1">
      <c r="A305" s="94">
        <v>10</v>
      </c>
      <c r="B305" s="319" t="s">
        <v>37</v>
      </c>
      <c r="C305" s="292">
        <v>2</v>
      </c>
      <c r="D305" s="55">
        <v>3674</v>
      </c>
      <c r="E305" s="55"/>
      <c r="F305" s="55"/>
      <c r="G305" s="55"/>
      <c r="H305" s="55"/>
      <c r="I305" s="55"/>
      <c r="J305" s="55"/>
      <c r="K305" s="55">
        <f t="shared" si="27"/>
        <v>3674</v>
      </c>
      <c r="L305" s="55"/>
      <c r="M305" s="55"/>
      <c r="N305" s="55"/>
      <c r="O305" s="55"/>
      <c r="P305" s="82"/>
      <c r="Q305" s="32">
        <f t="shared" si="29"/>
        <v>7348</v>
      </c>
      <c r="R305" s="56">
        <v>4</v>
      </c>
    </row>
    <row r="306" spans="1:18" ht="62.25" customHeight="1">
      <c r="A306" s="94">
        <v>11</v>
      </c>
      <c r="B306" s="319" t="s">
        <v>78</v>
      </c>
      <c r="C306" s="292">
        <v>2</v>
      </c>
      <c r="D306" s="55">
        <v>3414</v>
      </c>
      <c r="E306" s="55"/>
      <c r="F306" s="55"/>
      <c r="G306" s="55"/>
      <c r="H306" s="55"/>
      <c r="I306" s="55"/>
      <c r="J306" s="55"/>
      <c r="K306" s="55">
        <f t="shared" si="27"/>
        <v>3414</v>
      </c>
      <c r="L306" s="55"/>
      <c r="M306" s="55"/>
      <c r="N306" s="55"/>
      <c r="O306" s="55"/>
      <c r="P306" s="82"/>
      <c r="Q306" s="32">
        <f t="shared" si="29"/>
        <v>6828</v>
      </c>
      <c r="R306" s="56">
        <v>3</v>
      </c>
    </row>
    <row r="307" spans="1:18" ht="35.25" customHeight="1" hidden="1">
      <c r="A307" s="415"/>
      <c r="B307" s="431"/>
      <c r="C307" s="431"/>
      <c r="D307" s="431"/>
      <c r="E307" s="431"/>
      <c r="F307" s="431"/>
      <c r="G307" s="431"/>
      <c r="H307" s="431"/>
      <c r="I307" s="431"/>
      <c r="J307" s="431"/>
      <c r="K307" s="431"/>
      <c r="L307" s="431"/>
      <c r="M307" s="431"/>
      <c r="N307" s="431"/>
      <c r="O307" s="431"/>
      <c r="P307" s="431"/>
      <c r="Q307" s="431"/>
      <c r="R307" s="416"/>
    </row>
    <row r="308" spans="1:18" ht="45" customHeight="1" thickBot="1">
      <c r="A308" s="426" t="s">
        <v>18</v>
      </c>
      <c r="B308" s="427"/>
      <c r="C308" s="305">
        <f>SUM(C295:C307)</f>
        <v>51.5</v>
      </c>
      <c r="D308" s="228"/>
      <c r="E308" s="228"/>
      <c r="F308" s="228"/>
      <c r="G308" s="228"/>
      <c r="H308" s="228"/>
      <c r="I308" s="228"/>
      <c r="J308" s="228"/>
      <c r="K308" s="228"/>
      <c r="L308" s="228"/>
      <c r="M308" s="228"/>
      <c r="N308" s="228"/>
      <c r="O308" s="228"/>
      <c r="P308" s="228"/>
      <c r="Q308" s="229">
        <f>SUM(Q295:Q307)</f>
        <v>287927.46</v>
      </c>
      <c r="R308" s="214"/>
    </row>
    <row r="309" spans="1:18" ht="45.75" customHeight="1" hidden="1">
      <c r="A309" s="159"/>
      <c r="B309" s="211"/>
      <c r="C309" s="376"/>
      <c r="D309" s="156"/>
      <c r="E309" s="156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230"/>
      <c r="R309" s="159"/>
    </row>
    <row r="310" spans="1:18" ht="41.25" customHeight="1">
      <c r="A310" s="159"/>
      <c r="B310" s="155" t="s">
        <v>54</v>
      </c>
      <c r="C310" s="302">
        <f>SUM(C295+C296)+C297+C298+C299</f>
        <v>5.5</v>
      </c>
      <c r="D310" s="156"/>
      <c r="E310" s="156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231">
        <f>SUM(Q295+Q296)</f>
        <v>22196.46</v>
      </c>
      <c r="R310" s="159"/>
    </row>
    <row r="311" spans="1:18" ht="47.25" customHeight="1">
      <c r="A311" s="159"/>
      <c r="B311" s="155" t="s">
        <v>55</v>
      </c>
      <c r="C311" s="302">
        <f>C300+C301+C302+C303</f>
        <v>24</v>
      </c>
      <c r="D311" s="156"/>
      <c r="E311" s="156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231">
        <f>Q300+Q301+Q302+Q303</f>
        <v>155455.3</v>
      </c>
      <c r="R311" s="159"/>
    </row>
    <row r="312" spans="1:18" ht="42" customHeight="1">
      <c r="A312" s="159"/>
      <c r="B312" s="155" t="s">
        <v>44</v>
      </c>
      <c r="C312" s="302">
        <f>SUM(C304+C306)</f>
        <v>20</v>
      </c>
      <c r="D312" s="156"/>
      <c r="E312" s="156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231">
        <f>SUM(Q304+Q306)</f>
        <v>79573.2</v>
      </c>
      <c r="R312" s="159"/>
    </row>
    <row r="313" spans="1:18" ht="45.75" customHeight="1">
      <c r="A313" s="159"/>
      <c r="B313" s="155" t="s">
        <v>53</v>
      </c>
      <c r="C313" s="302">
        <f>C305</f>
        <v>2</v>
      </c>
      <c r="D313" s="156"/>
      <c r="E313" s="156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  <c r="Q313" s="231">
        <f>Q305</f>
        <v>7348</v>
      </c>
      <c r="R313" s="159"/>
    </row>
    <row r="314" spans="1:18" ht="53.25" customHeight="1">
      <c r="A314" s="432" t="s">
        <v>314</v>
      </c>
      <c r="B314" s="432"/>
      <c r="C314" s="432"/>
      <c r="D314" s="432"/>
      <c r="E314" s="432"/>
      <c r="F314" s="432"/>
      <c r="G314" s="432"/>
      <c r="H314" s="432"/>
      <c r="I314" s="432"/>
      <c r="J314" s="432"/>
      <c r="K314" s="432"/>
      <c r="L314" s="432"/>
      <c r="M314" s="432"/>
      <c r="N314" s="432"/>
      <c r="O314" s="432"/>
      <c r="P314" s="432"/>
      <c r="Q314" s="432"/>
      <c r="R314" s="432"/>
    </row>
    <row r="315" spans="1:18" ht="39.75" customHeight="1" hidden="1">
      <c r="A315" s="266"/>
      <c r="B315" s="266"/>
      <c r="C315" s="407"/>
      <c r="D315" s="266"/>
      <c r="E315" s="266"/>
      <c r="F315" s="266"/>
      <c r="G315" s="266"/>
      <c r="H315" s="266"/>
      <c r="I315" s="266"/>
      <c r="J315" s="266"/>
      <c r="K315" s="266"/>
      <c r="L315" s="266"/>
      <c r="M315" s="266"/>
      <c r="N315" s="266"/>
      <c r="O315" s="266"/>
      <c r="P315" s="266"/>
      <c r="Q315" s="266"/>
      <c r="R315" s="266"/>
    </row>
    <row r="316" spans="1:18" ht="38.25" hidden="1">
      <c r="A316" s="145"/>
      <c r="B316" s="49"/>
      <c r="C316" s="363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</row>
    <row r="317" spans="1:18" ht="37.5">
      <c r="A317" s="50">
        <v>1</v>
      </c>
      <c r="B317" s="51">
        <v>2</v>
      </c>
      <c r="C317" s="362">
        <v>3</v>
      </c>
      <c r="D317" s="51">
        <v>4</v>
      </c>
      <c r="E317" s="51">
        <v>5</v>
      </c>
      <c r="F317" s="51">
        <v>6</v>
      </c>
      <c r="G317" s="51">
        <v>7</v>
      </c>
      <c r="H317" s="51">
        <v>8</v>
      </c>
      <c r="I317" s="51">
        <v>9</v>
      </c>
      <c r="J317" s="51">
        <v>10</v>
      </c>
      <c r="K317" s="51">
        <v>11</v>
      </c>
      <c r="L317" s="51">
        <v>12</v>
      </c>
      <c r="M317" s="51">
        <v>13</v>
      </c>
      <c r="N317" s="51">
        <v>14</v>
      </c>
      <c r="O317" s="51">
        <v>15</v>
      </c>
      <c r="P317" s="51">
        <v>16</v>
      </c>
      <c r="Q317" s="51">
        <v>17</v>
      </c>
      <c r="R317" s="51">
        <v>18</v>
      </c>
    </row>
    <row r="318" spans="1:18" ht="114.75">
      <c r="A318" s="94">
        <v>1</v>
      </c>
      <c r="B318" s="53" t="s">
        <v>172</v>
      </c>
      <c r="C318" s="292">
        <v>1</v>
      </c>
      <c r="D318" s="54">
        <v>6567</v>
      </c>
      <c r="E318" s="55">
        <f>D318*0.2</f>
        <v>1313.4</v>
      </c>
      <c r="F318" s="55">
        <f>(D318+E318)*0.3</f>
        <v>2364.12</v>
      </c>
      <c r="G318" s="55"/>
      <c r="H318" s="55"/>
      <c r="I318" s="55"/>
      <c r="J318" s="55"/>
      <c r="K318" s="55">
        <f aca="true" t="shared" si="30" ref="K318:K332">SUM(D318:J318)</f>
        <v>10244.52</v>
      </c>
      <c r="L318" s="55"/>
      <c r="M318" s="55"/>
      <c r="N318" s="90">
        <f aca="true" t="shared" si="31" ref="N318:N329">K318*0.3</f>
        <v>3073.356</v>
      </c>
      <c r="O318" s="55"/>
      <c r="P318" s="55"/>
      <c r="Q318" s="32">
        <f aca="true" t="shared" si="32" ref="Q318:Q332">SUM(K318:P318)*C318</f>
        <v>13317.876</v>
      </c>
      <c r="R318" s="56">
        <v>13</v>
      </c>
    </row>
    <row r="319" spans="1:18" ht="76.5">
      <c r="A319" s="94">
        <v>2</v>
      </c>
      <c r="B319" s="53" t="s">
        <v>266</v>
      </c>
      <c r="C319" s="292">
        <v>0.75</v>
      </c>
      <c r="D319" s="54">
        <v>5699</v>
      </c>
      <c r="E319" s="55"/>
      <c r="F319" s="55">
        <f aca="true" t="shared" si="33" ref="F319:F325">(D319+E319)*0.2</f>
        <v>1139.8</v>
      </c>
      <c r="G319" s="55"/>
      <c r="H319" s="55"/>
      <c r="I319" s="55"/>
      <c r="J319" s="55"/>
      <c r="K319" s="55">
        <f t="shared" si="30"/>
        <v>6838.8</v>
      </c>
      <c r="L319" s="55"/>
      <c r="M319" s="55"/>
      <c r="N319" s="90">
        <f t="shared" si="31"/>
        <v>2051.64</v>
      </c>
      <c r="O319" s="55"/>
      <c r="P319" s="55"/>
      <c r="Q319" s="32">
        <f t="shared" si="32"/>
        <v>6667.83</v>
      </c>
      <c r="R319" s="56">
        <v>11</v>
      </c>
    </row>
    <row r="320" spans="1:18" ht="38.25">
      <c r="A320" s="94">
        <v>3</v>
      </c>
      <c r="B320" s="53" t="s">
        <v>302</v>
      </c>
      <c r="C320" s="292">
        <v>0.25</v>
      </c>
      <c r="D320" s="54">
        <v>5699</v>
      </c>
      <c r="E320" s="55"/>
      <c r="F320" s="55">
        <f t="shared" si="33"/>
        <v>1139.8</v>
      </c>
      <c r="G320" s="55"/>
      <c r="H320" s="55"/>
      <c r="I320" s="55"/>
      <c r="J320" s="55"/>
      <c r="K320" s="55">
        <f t="shared" si="30"/>
        <v>6838.8</v>
      </c>
      <c r="L320" s="55"/>
      <c r="M320" s="55"/>
      <c r="N320" s="90">
        <f>K320*0.1</f>
        <v>683.8800000000001</v>
      </c>
      <c r="O320" s="55"/>
      <c r="P320" s="55"/>
      <c r="Q320" s="32">
        <f t="shared" si="32"/>
        <v>1880.67</v>
      </c>
      <c r="R320" s="56">
        <v>11</v>
      </c>
    </row>
    <row r="321" spans="1:18" ht="38.25">
      <c r="A321" s="94">
        <v>4</v>
      </c>
      <c r="B321" s="53" t="s">
        <v>208</v>
      </c>
      <c r="C321" s="292">
        <v>1</v>
      </c>
      <c r="D321" s="54">
        <v>7001</v>
      </c>
      <c r="E321" s="55"/>
      <c r="F321" s="55">
        <f t="shared" si="33"/>
        <v>1400.2</v>
      </c>
      <c r="G321" s="55"/>
      <c r="H321" s="55"/>
      <c r="I321" s="55"/>
      <c r="J321" s="55"/>
      <c r="K321" s="55">
        <f t="shared" si="30"/>
        <v>8401.2</v>
      </c>
      <c r="L321" s="55"/>
      <c r="M321" s="55"/>
      <c r="N321" s="90">
        <f>K321*0.3</f>
        <v>2520.36</v>
      </c>
      <c r="O321" s="55"/>
      <c r="P321" s="55"/>
      <c r="Q321" s="32">
        <f>SUM(K321:P321)*C321</f>
        <v>10921.560000000001</v>
      </c>
      <c r="R321" s="56">
        <v>14</v>
      </c>
    </row>
    <row r="322" spans="1:18" ht="60" customHeight="1">
      <c r="A322" s="94">
        <v>5</v>
      </c>
      <c r="B322" s="53" t="s">
        <v>140</v>
      </c>
      <c r="C322" s="292">
        <v>1.75</v>
      </c>
      <c r="D322" s="54">
        <v>6567</v>
      </c>
      <c r="E322" s="55"/>
      <c r="F322" s="55">
        <f t="shared" si="33"/>
        <v>1313.4</v>
      </c>
      <c r="G322" s="55"/>
      <c r="H322" s="55"/>
      <c r="I322" s="55"/>
      <c r="J322" s="55"/>
      <c r="K322" s="55">
        <f t="shared" si="30"/>
        <v>7880.4</v>
      </c>
      <c r="L322" s="55"/>
      <c r="M322" s="55"/>
      <c r="N322" s="90">
        <f>K322*0.3</f>
        <v>2364.12</v>
      </c>
      <c r="O322" s="55"/>
      <c r="P322" s="55"/>
      <c r="Q322" s="32">
        <f t="shared" si="32"/>
        <v>17927.91</v>
      </c>
      <c r="R322" s="56">
        <v>13</v>
      </c>
    </row>
    <row r="323" spans="1:18" ht="75" customHeight="1">
      <c r="A323" s="94">
        <v>6</v>
      </c>
      <c r="B323" s="53" t="s">
        <v>313</v>
      </c>
      <c r="C323" s="292">
        <v>0.5</v>
      </c>
      <c r="D323" s="54">
        <v>7001</v>
      </c>
      <c r="E323" s="55"/>
      <c r="F323" s="55">
        <f t="shared" si="33"/>
        <v>1400.2</v>
      </c>
      <c r="G323" s="55"/>
      <c r="H323" s="55"/>
      <c r="I323" s="55"/>
      <c r="J323" s="55"/>
      <c r="K323" s="55">
        <f t="shared" si="30"/>
        <v>8401.2</v>
      </c>
      <c r="L323" s="55"/>
      <c r="M323" s="55"/>
      <c r="N323" s="90">
        <f>K323*0.3</f>
        <v>2520.36</v>
      </c>
      <c r="O323" s="55"/>
      <c r="P323" s="55"/>
      <c r="Q323" s="32">
        <f t="shared" si="32"/>
        <v>5460.780000000001</v>
      </c>
      <c r="R323" s="56">
        <v>14</v>
      </c>
    </row>
    <row r="324" spans="1:18" ht="76.5">
      <c r="A324" s="94">
        <v>7</v>
      </c>
      <c r="B324" s="53" t="s">
        <v>301</v>
      </c>
      <c r="C324" s="292">
        <v>3.25</v>
      </c>
      <c r="D324" s="54">
        <v>6567</v>
      </c>
      <c r="E324" s="55"/>
      <c r="F324" s="55">
        <f t="shared" si="33"/>
        <v>1313.4</v>
      </c>
      <c r="G324" s="55"/>
      <c r="H324" s="55"/>
      <c r="I324" s="55"/>
      <c r="J324" s="55"/>
      <c r="K324" s="55">
        <f t="shared" si="30"/>
        <v>7880.4</v>
      </c>
      <c r="L324" s="55"/>
      <c r="M324" s="55"/>
      <c r="N324" s="90">
        <f>K324*0.3</f>
        <v>2364.12</v>
      </c>
      <c r="O324" s="55"/>
      <c r="P324" s="55"/>
      <c r="Q324" s="32">
        <f t="shared" si="32"/>
        <v>33294.69</v>
      </c>
      <c r="R324" s="56">
        <v>13</v>
      </c>
    </row>
    <row r="325" spans="1:18" ht="60" customHeight="1">
      <c r="A325" s="94">
        <v>8</v>
      </c>
      <c r="B325" s="53" t="s">
        <v>267</v>
      </c>
      <c r="C325" s="292">
        <v>0</v>
      </c>
      <c r="D325" s="54">
        <v>5699</v>
      </c>
      <c r="E325" s="55"/>
      <c r="F325" s="55">
        <f t="shared" si="33"/>
        <v>1139.8</v>
      </c>
      <c r="G325" s="55"/>
      <c r="H325" s="55"/>
      <c r="I325" s="55"/>
      <c r="J325" s="55"/>
      <c r="K325" s="55">
        <f t="shared" si="30"/>
        <v>6838.8</v>
      </c>
      <c r="L325" s="55"/>
      <c r="M325" s="55"/>
      <c r="N325" s="90">
        <f>K325*0.1</f>
        <v>683.8800000000001</v>
      </c>
      <c r="O325" s="55"/>
      <c r="P325" s="55"/>
      <c r="Q325" s="32">
        <f t="shared" si="32"/>
        <v>0</v>
      </c>
      <c r="R325" s="56">
        <v>11</v>
      </c>
    </row>
    <row r="326" spans="1:18" ht="76.5">
      <c r="A326" s="94">
        <v>9</v>
      </c>
      <c r="B326" s="53" t="s">
        <v>260</v>
      </c>
      <c r="C326" s="292">
        <v>1</v>
      </c>
      <c r="D326" s="55">
        <v>4195</v>
      </c>
      <c r="E326" s="55">
        <f>D326*0.1</f>
        <v>419.5</v>
      </c>
      <c r="F326" s="55"/>
      <c r="G326" s="55"/>
      <c r="H326" s="55"/>
      <c r="I326" s="55"/>
      <c r="J326" s="55"/>
      <c r="K326" s="55">
        <f t="shared" si="30"/>
        <v>4614.5</v>
      </c>
      <c r="L326" s="55"/>
      <c r="M326" s="55"/>
      <c r="N326" s="90">
        <f t="shared" si="31"/>
        <v>1384.35</v>
      </c>
      <c r="O326" s="55"/>
      <c r="P326" s="55"/>
      <c r="Q326" s="32">
        <f t="shared" si="32"/>
        <v>5998.85</v>
      </c>
      <c r="R326" s="56">
        <v>6</v>
      </c>
    </row>
    <row r="327" spans="1:18" ht="75.75" customHeight="1">
      <c r="A327" s="94">
        <v>10</v>
      </c>
      <c r="B327" s="53" t="s">
        <v>261</v>
      </c>
      <c r="C327" s="292">
        <v>0.5</v>
      </c>
      <c r="D327" s="55">
        <v>4195</v>
      </c>
      <c r="E327" s="55"/>
      <c r="F327" s="55"/>
      <c r="G327" s="55"/>
      <c r="H327" s="55"/>
      <c r="I327" s="55"/>
      <c r="J327" s="55"/>
      <c r="K327" s="55">
        <f t="shared" si="30"/>
        <v>4195</v>
      </c>
      <c r="L327" s="55"/>
      <c r="M327" s="55"/>
      <c r="N327" s="90">
        <f t="shared" si="31"/>
        <v>1258.5</v>
      </c>
      <c r="O327" s="55"/>
      <c r="P327" s="55"/>
      <c r="Q327" s="32">
        <f t="shared" si="32"/>
        <v>2726.75</v>
      </c>
      <c r="R327" s="56">
        <v>6</v>
      </c>
    </row>
    <row r="328" spans="1:18" ht="75.75" customHeight="1">
      <c r="A328" s="94">
        <v>11</v>
      </c>
      <c r="B328" s="53" t="s">
        <v>290</v>
      </c>
      <c r="C328" s="292">
        <v>0.5</v>
      </c>
      <c r="D328" s="55">
        <v>4455</v>
      </c>
      <c r="E328" s="55"/>
      <c r="F328" s="55"/>
      <c r="G328" s="55"/>
      <c r="H328" s="55"/>
      <c r="I328" s="55"/>
      <c r="J328" s="55"/>
      <c r="K328" s="55">
        <f t="shared" si="30"/>
        <v>4455</v>
      </c>
      <c r="L328" s="55"/>
      <c r="M328" s="55"/>
      <c r="N328" s="90">
        <f t="shared" si="31"/>
        <v>1336.5</v>
      </c>
      <c r="O328" s="55"/>
      <c r="P328" s="55"/>
      <c r="Q328" s="32">
        <f t="shared" si="32"/>
        <v>2895.75</v>
      </c>
      <c r="R328" s="56">
        <v>7</v>
      </c>
    </row>
    <row r="329" spans="1:18" ht="76.5">
      <c r="A329" s="94">
        <v>12</v>
      </c>
      <c r="B329" s="53" t="s">
        <v>91</v>
      </c>
      <c r="C329" s="292">
        <v>4.5</v>
      </c>
      <c r="D329" s="55">
        <v>5005</v>
      </c>
      <c r="E329" s="55"/>
      <c r="F329" s="55"/>
      <c r="G329" s="55"/>
      <c r="H329" s="55"/>
      <c r="I329" s="55"/>
      <c r="J329" s="55"/>
      <c r="K329" s="55">
        <f t="shared" si="30"/>
        <v>5005</v>
      </c>
      <c r="L329" s="55"/>
      <c r="M329" s="55"/>
      <c r="N329" s="90">
        <f t="shared" si="31"/>
        <v>1501.5</v>
      </c>
      <c r="O329" s="55"/>
      <c r="P329" s="55"/>
      <c r="Q329" s="32">
        <f t="shared" si="32"/>
        <v>29279.25</v>
      </c>
      <c r="R329" s="56">
        <v>9</v>
      </c>
    </row>
    <row r="330" spans="1:18" ht="76.5">
      <c r="A330" s="94">
        <v>13</v>
      </c>
      <c r="B330" s="53" t="s">
        <v>292</v>
      </c>
      <c r="C330" s="292">
        <v>1</v>
      </c>
      <c r="D330" s="55">
        <v>3674</v>
      </c>
      <c r="E330" s="55"/>
      <c r="F330" s="55"/>
      <c r="G330" s="55"/>
      <c r="H330" s="55"/>
      <c r="I330" s="55"/>
      <c r="J330" s="55"/>
      <c r="K330" s="55">
        <f t="shared" si="30"/>
        <v>3674</v>
      </c>
      <c r="L330" s="55"/>
      <c r="M330" s="55"/>
      <c r="N330" s="90"/>
      <c r="O330" s="55"/>
      <c r="P330" s="55">
        <f>K330*10%</f>
        <v>367.40000000000003</v>
      </c>
      <c r="Q330" s="32">
        <f t="shared" si="32"/>
        <v>4041.4</v>
      </c>
      <c r="R330" s="56">
        <v>4</v>
      </c>
    </row>
    <row r="331" spans="1:18" ht="76.5">
      <c r="A331" s="94">
        <v>14</v>
      </c>
      <c r="B331" s="53" t="s">
        <v>92</v>
      </c>
      <c r="C331" s="292">
        <v>4.5</v>
      </c>
      <c r="D331" s="55">
        <v>3674</v>
      </c>
      <c r="E331" s="55"/>
      <c r="F331" s="55"/>
      <c r="G331" s="55"/>
      <c r="H331" s="55"/>
      <c r="I331" s="55"/>
      <c r="J331" s="55"/>
      <c r="K331" s="55">
        <f t="shared" si="30"/>
        <v>3674</v>
      </c>
      <c r="L331" s="55"/>
      <c r="M331" s="55"/>
      <c r="N331" s="55"/>
      <c r="O331" s="55"/>
      <c r="P331" s="55">
        <f>K331*10%</f>
        <v>367.40000000000003</v>
      </c>
      <c r="Q331" s="32">
        <f t="shared" si="32"/>
        <v>18186.3</v>
      </c>
      <c r="R331" s="56">
        <v>4</v>
      </c>
    </row>
    <row r="332" spans="1:18" ht="52.5" customHeight="1">
      <c r="A332" s="94">
        <v>15</v>
      </c>
      <c r="B332" s="53" t="s">
        <v>37</v>
      </c>
      <c r="C332" s="292">
        <v>0.5</v>
      </c>
      <c r="D332" s="55">
        <v>3674</v>
      </c>
      <c r="E332" s="55"/>
      <c r="F332" s="55"/>
      <c r="G332" s="55"/>
      <c r="H332" s="55"/>
      <c r="I332" s="55"/>
      <c r="J332" s="55"/>
      <c r="K332" s="55">
        <f t="shared" si="30"/>
        <v>3674</v>
      </c>
      <c r="L332" s="55"/>
      <c r="M332" s="55"/>
      <c r="N332" s="55"/>
      <c r="O332" s="55"/>
      <c r="P332" s="55"/>
      <c r="Q332" s="32">
        <f t="shared" si="32"/>
        <v>1837</v>
      </c>
      <c r="R332" s="56">
        <v>4</v>
      </c>
    </row>
    <row r="333" spans="1:18" ht="76.5">
      <c r="A333" s="94">
        <v>16</v>
      </c>
      <c r="B333" s="53" t="s">
        <v>77</v>
      </c>
      <c r="C333" s="292">
        <v>0.5</v>
      </c>
      <c r="D333" s="55">
        <v>3414</v>
      </c>
      <c r="E333" s="55"/>
      <c r="F333" s="55"/>
      <c r="G333" s="55"/>
      <c r="H333" s="55"/>
      <c r="I333" s="55"/>
      <c r="J333" s="55"/>
      <c r="K333" s="55">
        <f>SUM(D333:J333)</f>
        <v>3414</v>
      </c>
      <c r="L333" s="55"/>
      <c r="M333" s="55"/>
      <c r="N333" s="55"/>
      <c r="O333" s="55"/>
      <c r="P333" s="55"/>
      <c r="Q333" s="32">
        <f>SUM(K333:P333)*C333</f>
        <v>1707</v>
      </c>
      <c r="R333" s="56">
        <v>3</v>
      </c>
    </row>
    <row r="334" spans="1:18" ht="45.75" customHeight="1" thickBot="1">
      <c r="A334" s="429" t="s">
        <v>18</v>
      </c>
      <c r="B334" s="430"/>
      <c r="C334" s="305">
        <f>C318+C319+C320+C322+C325+C321+C326+C329+C331+C332+C333+C327+C328+C330+C323+C324</f>
        <v>21.5</v>
      </c>
      <c r="D334" s="192"/>
      <c r="E334" s="192"/>
      <c r="F334" s="192"/>
      <c r="G334" s="192"/>
      <c r="H334" s="192"/>
      <c r="I334" s="192"/>
      <c r="J334" s="192"/>
      <c r="K334" s="192"/>
      <c r="L334" s="192"/>
      <c r="M334" s="192"/>
      <c r="N334" s="192"/>
      <c r="O334" s="192"/>
      <c r="P334" s="192"/>
      <c r="Q334" s="232">
        <f>Q333+Q332+Q331+Q329+Q327+Q326+Q325+Q322+Q321+Q320+Q319+Q318+Q328+Q330</f>
        <v>117388.146</v>
      </c>
      <c r="R334" s="233"/>
    </row>
    <row r="335" spans="1:18" ht="27" customHeight="1">
      <c r="A335" s="195"/>
      <c r="B335" s="45"/>
      <c r="C335" s="381"/>
      <c r="D335" s="195"/>
      <c r="E335" s="195"/>
      <c r="F335" s="195"/>
      <c r="G335" s="195"/>
      <c r="H335" s="195"/>
      <c r="I335" s="195"/>
      <c r="J335" s="195"/>
      <c r="K335" s="195"/>
      <c r="L335" s="195"/>
      <c r="M335" s="195"/>
      <c r="N335" s="195"/>
      <c r="O335" s="195"/>
      <c r="P335" s="195"/>
      <c r="Q335" s="234"/>
      <c r="R335" s="195"/>
    </row>
    <row r="336" spans="1:18" ht="35.25" customHeight="1">
      <c r="A336" s="195"/>
      <c r="B336" s="194" t="s">
        <v>54</v>
      </c>
      <c r="C336" s="297">
        <f>SUM(C318:C322)+C325+C324+C323</f>
        <v>8.5</v>
      </c>
      <c r="D336" s="195"/>
      <c r="E336" s="195"/>
      <c r="F336" s="195"/>
      <c r="G336" s="195"/>
      <c r="H336" s="195"/>
      <c r="I336" s="195"/>
      <c r="J336" s="195"/>
      <c r="K336" s="195"/>
      <c r="L336" s="195"/>
      <c r="M336" s="195"/>
      <c r="N336" s="195"/>
      <c r="O336" s="195"/>
      <c r="P336" s="195"/>
      <c r="Q336" s="323">
        <f>SUM(Q318:Q322)+Q325</f>
        <v>50715.846000000005</v>
      </c>
      <c r="R336" s="195"/>
    </row>
    <row r="337" spans="1:18" ht="37.5" customHeight="1">
      <c r="A337" s="195"/>
      <c r="B337" s="194" t="s">
        <v>55</v>
      </c>
      <c r="C337" s="297">
        <f>SUM(C326:C329)</f>
        <v>6.5</v>
      </c>
      <c r="D337" s="195"/>
      <c r="E337" s="195"/>
      <c r="F337" s="195"/>
      <c r="G337" s="195"/>
      <c r="H337" s="195"/>
      <c r="I337" s="195"/>
      <c r="J337" s="195"/>
      <c r="K337" s="195"/>
      <c r="L337" s="195"/>
      <c r="M337" s="195"/>
      <c r="N337" s="195"/>
      <c r="O337" s="195"/>
      <c r="P337" s="195"/>
      <c r="Q337" s="323">
        <f>SUM(Q326:Q329)</f>
        <v>40900.6</v>
      </c>
      <c r="R337" s="195"/>
    </row>
    <row r="338" spans="1:18" ht="35.25" customHeight="1">
      <c r="A338" s="195"/>
      <c r="B338" s="194" t="s">
        <v>44</v>
      </c>
      <c r="C338" s="297">
        <f>C331+C333+C330</f>
        <v>6</v>
      </c>
      <c r="D338" s="195"/>
      <c r="E338" s="195"/>
      <c r="F338" s="195"/>
      <c r="G338" s="195"/>
      <c r="H338" s="195"/>
      <c r="I338" s="195"/>
      <c r="J338" s="195"/>
      <c r="K338" s="195"/>
      <c r="L338" s="195"/>
      <c r="M338" s="195"/>
      <c r="N338" s="195"/>
      <c r="O338" s="195"/>
      <c r="P338" s="195"/>
      <c r="Q338" s="235">
        <f>Q331+Q333+Q330</f>
        <v>23934.7</v>
      </c>
      <c r="R338" s="195"/>
    </row>
    <row r="339" spans="1:18" ht="35.25" customHeight="1">
      <c r="A339" s="91"/>
      <c r="B339" s="84" t="s">
        <v>53</v>
      </c>
      <c r="C339" s="307">
        <f>C332</f>
        <v>0.5</v>
      </c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242">
        <f>Q332</f>
        <v>1837</v>
      </c>
      <c r="R339" s="92"/>
    </row>
    <row r="340" spans="1:18" ht="1.5" customHeight="1">
      <c r="A340" s="91"/>
      <c r="B340" s="92"/>
      <c r="C340" s="364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</row>
    <row r="341" spans="1:18" ht="39" customHeight="1">
      <c r="A341" s="92"/>
      <c r="B341" s="92"/>
      <c r="C341" s="364"/>
      <c r="D341" s="92"/>
      <c r="E341" s="92"/>
      <c r="F341" s="266" t="s">
        <v>83</v>
      </c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</row>
    <row r="342" spans="1:18" ht="6" customHeight="1" hidden="1">
      <c r="A342" s="96"/>
      <c r="B342" s="92"/>
      <c r="C342" s="364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</row>
    <row r="343" spans="1:18" ht="37.5">
      <c r="A343" s="111">
        <v>1</v>
      </c>
      <c r="B343" s="197">
        <v>2</v>
      </c>
      <c r="C343" s="382">
        <v>3</v>
      </c>
      <c r="D343" s="197">
        <v>4</v>
      </c>
      <c r="E343" s="197">
        <v>5</v>
      </c>
      <c r="F343" s="197">
        <v>6</v>
      </c>
      <c r="G343" s="197">
        <v>7</v>
      </c>
      <c r="H343" s="197">
        <v>8</v>
      </c>
      <c r="I343" s="197">
        <v>9</v>
      </c>
      <c r="J343" s="197">
        <v>10</v>
      </c>
      <c r="K343" s="197">
        <v>11</v>
      </c>
      <c r="L343" s="197">
        <v>12</v>
      </c>
      <c r="M343" s="197">
        <v>13</v>
      </c>
      <c r="N343" s="197">
        <v>14</v>
      </c>
      <c r="O343" s="197">
        <v>15</v>
      </c>
      <c r="P343" s="197">
        <v>16</v>
      </c>
      <c r="Q343" s="197">
        <v>17</v>
      </c>
      <c r="R343" s="197">
        <v>18</v>
      </c>
    </row>
    <row r="344" spans="1:18" ht="82.5" customHeight="1">
      <c r="A344" s="143">
        <v>1</v>
      </c>
      <c r="B344" s="236" t="s">
        <v>305</v>
      </c>
      <c r="C344" s="304">
        <v>1</v>
      </c>
      <c r="D344" s="72">
        <v>6567</v>
      </c>
      <c r="E344" s="72"/>
      <c r="F344" s="72"/>
      <c r="G344" s="72"/>
      <c r="H344" s="72"/>
      <c r="I344" s="72"/>
      <c r="J344" s="72"/>
      <c r="K344" s="69">
        <f>SUM(D344:J344)</f>
        <v>6567</v>
      </c>
      <c r="L344" s="72"/>
      <c r="M344" s="72"/>
      <c r="N344" s="72">
        <f>K344*0.2</f>
        <v>1313.4</v>
      </c>
      <c r="O344" s="72"/>
      <c r="P344" s="72"/>
      <c r="Q344" s="203">
        <f>SUM(K344:P344)*C344</f>
        <v>7880.4</v>
      </c>
      <c r="R344" s="33">
        <v>13</v>
      </c>
    </row>
    <row r="345" spans="1:18" ht="82.5" customHeight="1">
      <c r="A345" s="143">
        <v>2</v>
      </c>
      <c r="B345" s="341" t="s">
        <v>274</v>
      </c>
      <c r="C345" s="300">
        <v>0.5</v>
      </c>
      <c r="D345" s="238">
        <v>3414</v>
      </c>
      <c r="E345" s="239"/>
      <c r="F345" s="69"/>
      <c r="G345" s="69"/>
      <c r="H345" s="69"/>
      <c r="I345" s="69"/>
      <c r="J345" s="69"/>
      <c r="K345" s="69">
        <f>SUM(D345:J345)</f>
        <v>3414</v>
      </c>
      <c r="L345" s="69"/>
      <c r="M345" s="69"/>
      <c r="N345" s="69"/>
      <c r="O345" s="69"/>
      <c r="P345" s="69"/>
      <c r="Q345" s="203">
        <f>SUM(K345:P345)*C345</f>
        <v>1707</v>
      </c>
      <c r="R345" s="73">
        <v>3</v>
      </c>
    </row>
    <row r="346" spans="1:18" ht="38.25">
      <c r="A346" s="123">
        <v>3</v>
      </c>
      <c r="B346" s="237" t="s">
        <v>90</v>
      </c>
      <c r="C346" s="300">
        <v>0.5</v>
      </c>
      <c r="D346" s="238">
        <v>3414</v>
      </c>
      <c r="E346" s="239"/>
      <c r="F346" s="69"/>
      <c r="G346" s="69"/>
      <c r="H346" s="69"/>
      <c r="I346" s="69"/>
      <c r="J346" s="69"/>
      <c r="K346" s="69">
        <f>SUM(D346:J346)</f>
        <v>3414</v>
      </c>
      <c r="L346" s="69"/>
      <c r="M346" s="69"/>
      <c r="N346" s="69"/>
      <c r="O346" s="69"/>
      <c r="P346" s="69">
        <f>K346*10%</f>
        <v>341.40000000000003</v>
      </c>
      <c r="Q346" s="72">
        <f>SUM(K346:P346)*C346</f>
        <v>1877.7</v>
      </c>
      <c r="R346" s="73">
        <v>3</v>
      </c>
    </row>
    <row r="347" spans="1:18" ht="45.75" customHeight="1">
      <c r="A347" s="415" t="s">
        <v>18</v>
      </c>
      <c r="B347" s="416"/>
      <c r="C347" s="293">
        <f>SUM(C344:C346)</f>
        <v>2</v>
      </c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172">
        <f>SUM(Q344:Q346)</f>
        <v>11465.1</v>
      </c>
      <c r="R347" s="73"/>
    </row>
    <row r="348" spans="1:18" ht="29.25" customHeight="1">
      <c r="A348" s="92"/>
      <c r="B348" s="84" t="s">
        <v>46</v>
      </c>
      <c r="C348" s="327">
        <v>1</v>
      </c>
      <c r="D348" s="240"/>
      <c r="E348" s="240"/>
      <c r="F348" s="240"/>
      <c r="G348" s="240"/>
      <c r="H348" s="240"/>
      <c r="I348" s="240"/>
      <c r="J348" s="240"/>
      <c r="K348" s="240"/>
      <c r="L348" s="240"/>
      <c r="M348" s="240"/>
      <c r="N348" s="240"/>
      <c r="O348" s="240"/>
      <c r="P348" s="135"/>
      <c r="Q348" s="241">
        <f>SUM(Q344:Q344)</f>
        <v>7880.4</v>
      </c>
      <c r="R348" s="92"/>
    </row>
    <row r="349" spans="1:18" ht="36.75" customHeight="1">
      <c r="A349" s="92"/>
      <c r="B349" s="84" t="s">
        <v>44</v>
      </c>
      <c r="C349" s="307">
        <f>0.5</f>
        <v>0.5</v>
      </c>
      <c r="D349" s="240"/>
      <c r="E349" s="240"/>
      <c r="F349" s="240"/>
      <c r="G349" s="240"/>
      <c r="H349" s="240"/>
      <c r="I349" s="240"/>
      <c r="J349" s="240"/>
      <c r="K349" s="240"/>
      <c r="L349" s="240"/>
      <c r="M349" s="240"/>
      <c r="N349" s="240"/>
      <c r="O349" s="240"/>
      <c r="P349" s="135"/>
      <c r="Q349" s="242">
        <f>SUM(Q346)</f>
        <v>1877.7</v>
      </c>
      <c r="R349" s="92"/>
    </row>
    <row r="350" spans="1:18" ht="22.5" customHeight="1" hidden="1">
      <c r="A350" s="159"/>
      <c r="B350" s="84" t="s">
        <v>44</v>
      </c>
      <c r="C350" s="307">
        <f>0.5</f>
        <v>0.5</v>
      </c>
      <c r="D350" s="159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242">
        <f aca="true" t="shared" si="34" ref="Q350:Q355">SUM(Q347)</f>
        <v>11465.1</v>
      </c>
      <c r="R350" s="159"/>
    </row>
    <row r="351" spans="1:18" ht="22.5" customHeight="1" hidden="1">
      <c r="A351" s="159"/>
      <c r="B351" s="84" t="s">
        <v>44</v>
      </c>
      <c r="C351" s="307">
        <f>0.5</f>
        <v>0.5</v>
      </c>
      <c r="D351" s="159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242">
        <f t="shared" si="34"/>
        <v>7880.4</v>
      </c>
      <c r="R351" s="159"/>
    </row>
    <row r="352" spans="1:18" ht="22.5" customHeight="1" hidden="1">
      <c r="A352" s="159"/>
      <c r="B352" s="84" t="s">
        <v>44</v>
      </c>
      <c r="C352" s="307">
        <f>0.5</f>
        <v>0.5</v>
      </c>
      <c r="D352" s="159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242">
        <f t="shared" si="34"/>
        <v>1877.7</v>
      </c>
      <c r="R352" s="159"/>
    </row>
    <row r="353" spans="1:18" ht="28.5" customHeight="1" hidden="1">
      <c r="A353" s="159"/>
      <c r="B353" s="84" t="s">
        <v>44</v>
      </c>
      <c r="C353" s="307">
        <f>0.5</f>
        <v>0.5</v>
      </c>
      <c r="D353" s="159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242">
        <f t="shared" si="34"/>
        <v>11465.1</v>
      </c>
      <c r="R353" s="159"/>
    </row>
    <row r="354" spans="1:18" ht="31.5" customHeight="1">
      <c r="A354" s="265" t="s">
        <v>270</v>
      </c>
      <c r="B354" s="84" t="s">
        <v>53</v>
      </c>
      <c r="C354" s="307">
        <f>C345</f>
        <v>0.5</v>
      </c>
      <c r="D354" s="267"/>
      <c r="E354" s="267" t="s">
        <v>76</v>
      </c>
      <c r="F354" s="267"/>
      <c r="G354" s="267"/>
      <c r="H354" s="267"/>
      <c r="I354" s="267"/>
      <c r="J354" s="267"/>
      <c r="K354" s="267"/>
      <c r="L354" s="267"/>
      <c r="M354" s="267"/>
      <c r="N354" s="267"/>
      <c r="O354" s="267"/>
      <c r="P354" s="267"/>
      <c r="Q354" s="242">
        <f>Q345</f>
        <v>1707</v>
      </c>
      <c r="R354" s="49"/>
    </row>
    <row r="355" spans="1:18" ht="38.25" hidden="1">
      <c r="A355" s="145"/>
      <c r="B355" s="49"/>
      <c r="C355" s="363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242">
        <f t="shared" si="34"/>
        <v>1877.7</v>
      </c>
      <c r="R355" s="49"/>
    </row>
    <row r="356" spans="1:18" ht="38.25">
      <c r="A356" s="145"/>
      <c r="B356" s="49"/>
      <c r="C356" s="363"/>
      <c r="D356" s="433" t="s">
        <v>286</v>
      </c>
      <c r="E356" s="433"/>
      <c r="F356" s="433"/>
      <c r="G356" s="433"/>
      <c r="H356" s="433"/>
      <c r="I356" s="433"/>
      <c r="J356" s="433"/>
      <c r="K356" s="433"/>
      <c r="L356" s="433"/>
      <c r="M356" s="433"/>
      <c r="N356" s="433"/>
      <c r="O356" s="433"/>
      <c r="P356" s="49"/>
      <c r="Q356" s="242"/>
      <c r="R356" s="49"/>
    </row>
    <row r="357" spans="1:18" ht="38.25">
      <c r="A357" s="123">
        <v>1</v>
      </c>
      <c r="B357" s="87" t="s">
        <v>168</v>
      </c>
      <c r="C357" s="326">
        <v>0.5</v>
      </c>
      <c r="D357" s="105">
        <v>5265</v>
      </c>
      <c r="E357" s="105"/>
      <c r="F357" s="105"/>
      <c r="G357" s="105"/>
      <c r="H357" s="105">
        <f>D357*0.15</f>
        <v>789.75</v>
      </c>
      <c r="I357" s="105"/>
      <c r="J357" s="105"/>
      <c r="K357" s="32">
        <f>SUM(D357:J357)</f>
        <v>6054.75</v>
      </c>
      <c r="L357" s="105"/>
      <c r="M357" s="105"/>
      <c r="N357" s="105">
        <f>K357*0.3</f>
        <v>1816.425</v>
      </c>
      <c r="O357" s="105"/>
      <c r="P357" s="191"/>
      <c r="Q357" s="32">
        <f>SUM(K357:P357)*C357</f>
        <v>3935.5875</v>
      </c>
      <c r="R357" s="65">
        <v>10</v>
      </c>
    </row>
    <row r="358" spans="1:18" ht="34.5" customHeight="1">
      <c r="A358" s="94">
        <v>2</v>
      </c>
      <c r="B358" s="80" t="s">
        <v>39</v>
      </c>
      <c r="C358" s="300">
        <v>0.5</v>
      </c>
      <c r="D358" s="69">
        <v>3414</v>
      </c>
      <c r="E358" s="69"/>
      <c r="F358" s="69"/>
      <c r="G358" s="69"/>
      <c r="H358" s="115">
        <f>D358*0.15</f>
        <v>512.1</v>
      </c>
      <c r="I358" s="69"/>
      <c r="J358" s="69"/>
      <c r="K358" s="69">
        <f>SUM(D358:J358)</f>
        <v>3926.1</v>
      </c>
      <c r="L358" s="69"/>
      <c r="M358" s="69"/>
      <c r="N358" s="69"/>
      <c r="O358" s="69"/>
      <c r="P358" s="95"/>
      <c r="Q358" s="72">
        <f>SUM(K358:P358)*C358</f>
        <v>1963.05</v>
      </c>
      <c r="R358" s="73">
        <v>3</v>
      </c>
    </row>
    <row r="359" spans="1:18" ht="34.5" customHeight="1">
      <c r="A359" s="415" t="s">
        <v>18</v>
      </c>
      <c r="B359" s="416"/>
      <c r="C359" s="293">
        <f>SUM(C357:C358)</f>
        <v>1</v>
      </c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172">
        <f>SUM(Q357:Q358)</f>
        <v>5898.6375</v>
      </c>
      <c r="R359" s="73"/>
    </row>
    <row r="360" spans="1:18" ht="41.25" customHeight="1">
      <c r="A360" s="91"/>
      <c r="B360" s="84" t="s">
        <v>54</v>
      </c>
      <c r="C360" s="307">
        <f>C357</f>
        <v>0.5</v>
      </c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1"/>
      <c r="Q360" s="242">
        <f>SUM(Q357)</f>
        <v>3935.5875</v>
      </c>
      <c r="R360" s="92"/>
    </row>
    <row r="361" spans="1:18" ht="29.25" customHeight="1">
      <c r="A361" s="91"/>
      <c r="B361" s="84" t="s">
        <v>44</v>
      </c>
      <c r="C361" s="307">
        <f>C358</f>
        <v>0.5</v>
      </c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179"/>
      <c r="Q361" s="242">
        <f>SUM(Q358)</f>
        <v>1963.05</v>
      </c>
      <c r="R361" s="92"/>
    </row>
    <row r="362" spans="1:18" ht="1.5" customHeight="1" hidden="1">
      <c r="A362" s="178"/>
      <c r="B362" s="49"/>
      <c r="C362" s="363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</row>
    <row r="363" spans="1:18" ht="1.5" customHeight="1" hidden="1">
      <c r="A363" s="178"/>
      <c r="B363" s="49"/>
      <c r="C363" s="363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</row>
    <row r="364" spans="1:18" ht="1.5" customHeight="1" hidden="1">
      <c r="A364" s="178"/>
      <c r="B364" s="49"/>
      <c r="C364" s="363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</row>
    <row r="365" spans="1:18" s="267" customFormat="1" ht="41.25" customHeight="1">
      <c r="A365" s="425" t="s">
        <v>121</v>
      </c>
      <c r="B365" s="425"/>
      <c r="C365" s="425"/>
      <c r="D365" s="425"/>
      <c r="E365" s="425"/>
      <c r="F365" s="425"/>
      <c r="G365" s="425"/>
      <c r="H365" s="425"/>
      <c r="I365" s="425"/>
      <c r="J365" s="425"/>
      <c r="K365" s="425"/>
      <c r="L365" s="425"/>
      <c r="M365" s="425"/>
      <c r="N365" s="425"/>
      <c r="O365" s="425"/>
      <c r="P365" s="425"/>
      <c r="Q365" s="425"/>
      <c r="R365" s="425"/>
    </row>
    <row r="366" spans="1:18" ht="81.75" customHeight="1">
      <c r="A366" s="123">
        <v>1</v>
      </c>
      <c r="B366" s="321" t="s">
        <v>231</v>
      </c>
      <c r="C366" s="326">
        <v>1</v>
      </c>
      <c r="D366" s="105">
        <v>6567</v>
      </c>
      <c r="E366" s="105">
        <f>D366*0.1</f>
        <v>656.7</v>
      </c>
      <c r="F366" s="105"/>
      <c r="G366" s="105"/>
      <c r="H366" s="105">
        <f>(D366+E366)*0.15</f>
        <v>1083.5549999999998</v>
      </c>
      <c r="I366" s="105"/>
      <c r="J366" s="105"/>
      <c r="K366" s="32">
        <f>SUM(D366:J366)</f>
        <v>8307.255</v>
      </c>
      <c r="L366" s="105"/>
      <c r="M366" s="105"/>
      <c r="N366" s="88">
        <f>K366*0.3</f>
        <v>2492.1764999999996</v>
      </c>
      <c r="O366" s="105"/>
      <c r="P366" s="191"/>
      <c r="Q366" s="32">
        <f>SUM(K366:P366)*C366</f>
        <v>10799.431499999999</v>
      </c>
      <c r="R366" s="65">
        <v>13</v>
      </c>
    </row>
    <row r="367" spans="1:18" ht="42" customHeight="1">
      <c r="A367" s="123">
        <v>2</v>
      </c>
      <c r="B367" s="322" t="s">
        <v>141</v>
      </c>
      <c r="C367" s="292">
        <v>2</v>
      </c>
      <c r="D367" s="55">
        <v>6567</v>
      </c>
      <c r="E367" s="55"/>
      <c r="F367" s="55"/>
      <c r="G367" s="55"/>
      <c r="H367" s="105">
        <f>D367*0.15</f>
        <v>985.05</v>
      </c>
      <c r="I367" s="55"/>
      <c r="J367" s="55"/>
      <c r="K367" s="55">
        <f>SUM(D367:J367)</f>
        <v>7552.05</v>
      </c>
      <c r="L367" s="55"/>
      <c r="M367" s="55"/>
      <c r="N367" s="88">
        <f>K367*0.3</f>
        <v>2265.615</v>
      </c>
      <c r="O367" s="55"/>
      <c r="P367" s="82"/>
      <c r="Q367" s="32">
        <f>SUM(K367:P367)*C367</f>
        <v>19635.33</v>
      </c>
      <c r="R367" s="56">
        <v>13</v>
      </c>
    </row>
    <row r="368" spans="1:18" ht="68.25" customHeight="1">
      <c r="A368" s="123">
        <v>3</v>
      </c>
      <c r="B368" s="320" t="s">
        <v>142</v>
      </c>
      <c r="C368" s="292">
        <v>2.25</v>
      </c>
      <c r="D368" s="54">
        <v>5265</v>
      </c>
      <c r="E368" s="55"/>
      <c r="F368" s="55"/>
      <c r="G368" s="55"/>
      <c r="H368" s="105">
        <f>D368*0.15</f>
        <v>789.75</v>
      </c>
      <c r="I368" s="55"/>
      <c r="J368" s="55"/>
      <c r="K368" s="55">
        <f>SUM(D368:J368)</f>
        <v>6054.75</v>
      </c>
      <c r="L368" s="55"/>
      <c r="M368" s="55"/>
      <c r="N368" s="88">
        <f>K368*0.3</f>
        <v>1816.425</v>
      </c>
      <c r="O368" s="55"/>
      <c r="P368" s="82"/>
      <c r="Q368" s="32">
        <f>SUM(K368:P368)*C368</f>
        <v>17710.14375</v>
      </c>
      <c r="R368" s="56">
        <v>10</v>
      </c>
    </row>
    <row r="369" spans="1:18" ht="68.25" customHeight="1">
      <c r="A369" s="123">
        <v>4</v>
      </c>
      <c r="B369" s="320" t="s">
        <v>269</v>
      </c>
      <c r="C369" s="292">
        <v>1</v>
      </c>
      <c r="D369" s="54">
        <v>5005</v>
      </c>
      <c r="E369" s="55"/>
      <c r="F369" s="55"/>
      <c r="G369" s="55"/>
      <c r="H369" s="105">
        <f>D369*0.15</f>
        <v>750.75</v>
      </c>
      <c r="I369" s="55"/>
      <c r="J369" s="55"/>
      <c r="K369" s="55">
        <f>SUM(D369:J369)</f>
        <v>5755.75</v>
      </c>
      <c r="L369" s="55"/>
      <c r="M369" s="55"/>
      <c r="N369" s="88">
        <f>K369*0.2</f>
        <v>1151.15</v>
      </c>
      <c r="O369" s="55"/>
      <c r="P369" s="82"/>
      <c r="Q369" s="32">
        <f>SUM(K369:P369)*C369</f>
        <v>6906.9</v>
      </c>
      <c r="R369" s="56">
        <v>9</v>
      </c>
    </row>
    <row r="370" spans="1:18" ht="45.75" customHeight="1">
      <c r="A370" s="123">
        <v>5</v>
      </c>
      <c r="B370" s="319" t="s">
        <v>45</v>
      </c>
      <c r="C370" s="292">
        <v>2</v>
      </c>
      <c r="D370" s="55">
        <v>3414</v>
      </c>
      <c r="E370" s="55"/>
      <c r="F370" s="55"/>
      <c r="G370" s="55"/>
      <c r="H370" s="105">
        <f>D370*0.15</f>
        <v>512.1</v>
      </c>
      <c r="I370" s="55"/>
      <c r="J370" s="55"/>
      <c r="K370" s="55">
        <f>SUM(D370:J370)</f>
        <v>3926.1</v>
      </c>
      <c r="L370" s="55"/>
      <c r="M370" s="55"/>
      <c r="N370" s="55"/>
      <c r="O370" s="55"/>
      <c r="P370" s="82">
        <f>D370*10%</f>
        <v>341.40000000000003</v>
      </c>
      <c r="Q370" s="32">
        <f>SUM(K370:P370)*C370</f>
        <v>8535</v>
      </c>
      <c r="R370" s="56">
        <v>3</v>
      </c>
    </row>
    <row r="371" spans="1:18" ht="35.25" customHeight="1" thickBot="1">
      <c r="A371" s="426" t="s">
        <v>18</v>
      </c>
      <c r="B371" s="427"/>
      <c r="C371" s="295">
        <f>SUM(C366:C370)</f>
        <v>8.25</v>
      </c>
      <c r="D371" s="228"/>
      <c r="E371" s="228"/>
      <c r="F371" s="228"/>
      <c r="G371" s="228"/>
      <c r="H371" s="228"/>
      <c r="I371" s="228"/>
      <c r="J371" s="228"/>
      <c r="K371" s="228"/>
      <c r="L371" s="228"/>
      <c r="M371" s="228"/>
      <c r="N371" s="228"/>
      <c r="O371" s="228"/>
      <c r="P371" s="228"/>
      <c r="Q371" s="193">
        <f>SUM(Q366:Q370)</f>
        <v>63586.80525</v>
      </c>
      <c r="R371" s="214"/>
    </row>
    <row r="372" spans="1:18" ht="44.25" customHeight="1">
      <c r="A372" s="243"/>
      <c r="B372" s="183" t="s">
        <v>54</v>
      </c>
      <c r="C372" s="297">
        <f>C366+C367</f>
        <v>3</v>
      </c>
      <c r="D372" s="159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217">
        <f>Q366+Q367</f>
        <v>30434.7615</v>
      </c>
      <c r="R372" s="159"/>
    </row>
    <row r="373" spans="1:18" ht="36" customHeight="1">
      <c r="A373" s="243"/>
      <c r="B373" s="244" t="s">
        <v>55</v>
      </c>
      <c r="C373" s="297">
        <f>C368+C369</f>
        <v>3.25</v>
      </c>
      <c r="D373" s="159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217">
        <f>Q368+Q369</f>
        <v>24617.043749999997</v>
      </c>
      <c r="R373" s="159"/>
    </row>
    <row r="374" spans="1:18" ht="39.75" customHeight="1">
      <c r="A374" s="243"/>
      <c r="B374" s="245" t="s">
        <v>44</v>
      </c>
      <c r="C374" s="297">
        <f>C370</f>
        <v>2</v>
      </c>
      <c r="D374" s="159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217">
        <f>Q370</f>
        <v>8535</v>
      </c>
      <c r="R374" s="159"/>
    </row>
    <row r="375" spans="1:18" s="9" customFormat="1" ht="27" customHeight="1">
      <c r="A375" s="428" t="s">
        <v>117</v>
      </c>
      <c r="B375" s="428"/>
      <c r="C375" s="428"/>
      <c r="D375" s="428"/>
      <c r="E375" s="428"/>
      <c r="F375" s="428"/>
      <c r="G375" s="428"/>
      <c r="H375" s="428"/>
      <c r="I375" s="428"/>
      <c r="J375" s="428"/>
      <c r="K375" s="428"/>
      <c r="L375" s="428"/>
      <c r="M375" s="428"/>
      <c r="N375" s="428"/>
      <c r="O375" s="428"/>
      <c r="P375" s="428"/>
      <c r="Q375" s="428"/>
      <c r="R375" s="428"/>
    </row>
    <row r="376" spans="1:18" ht="37.5">
      <c r="A376" s="50">
        <v>1</v>
      </c>
      <c r="B376" s="51">
        <v>2</v>
      </c>
      <c r="C376" s="397">
        <v>3</v>
      </c>
      <c r="D376" s="51">
        <v>4</v>
      </c>
      <c r="E376" s="51">
        <v>5</v>
      </c>
      <c r="F376" s="51">
        <v>6</v>
      </c>
      <c r="G376" s="51">
        <v>7</v>
      </c>
      <c r="H376" s="51">
        <v>8</v>
      </c>
      <c r="I376" s="51">
        <v>9</v>
      </c>
      <c r="J376" s="51">
        <v>10</v>
      </c>
      <c r="K376" s="51">
        <v>11</v>
      </c>
      <c r="L376" s="51">
        <v>12</v>
      </c>
      <c r="M376" s="51">
        <v>13</v>
      </c>
      <c r="N376" s="51">
        <v>14</v>
      </c>
      <c r="O376" s="51">
        <v>15</v>
      </c>
      <c r="P376" s="51">
        <v>16</v>
      </c>
      <c r="Q376" s="51">
        <v>17</v>
      </c>
      <c r="R376" s="51">
        <v>18</v>
      </c>
    </row>
    <row r="377" spans="1:18" ht="64.5" customHeight="1">
      <c r="A377" s="94">
        <v>1</v>
      </c>
      <c r="B377" s="385" t="s">
        <v>232</v>
      </c>
      <c r="C377" s="300">
        <v>1</v>
      </c>
      <c r="D377" s="69">
        <v>6567</v>
      </c>
      <c r="E377" s="69"/>
      <c r="F377" s="69"/>
      <c r="G377" s="69"/>
      <c r="H377" s="69"/>
      <c r="I377" s="69"/>
      <c r="J377" s="69"/>
      <c r="K377" s="69">
        <f>SUM(D377:J377)</f>
        <v>6567</v>
      </c>
      <c r="L377" s="69"/>
      <c r="M377" s="69"/>
      <c r="N377" s="69">
        <f>K377*0.3</f>
        <v>1970.1</v>
      </c>
      <c r="O377" s="69"/>
      <c r="P377" s="95"/>
      <c r="Q377" s="72">
        <f>SUM(K377:P377)*C377</f>
        <v>8537.1</v>
      </c>
      <c r="R377" s="73">
        <v>13</v>
      </c>
    </row>
    <row r="378" spans="1:18" ht="97.5" customHeight="1">
      <c r="A378" s="123">
        <v>2</v>
      </c>
      <c r="B378" s="385" t="s">
        <v>165</v>
      </c>
      <c r="C378" s="300">
        <v>0.75</v>
      </c>
      <c r="D378" s="69">
        <v>5005</v>
      </c>
      <c r="E378" s="246"/>
      <c r="F378" s="246"/>
      <c r="G378" s="246"/>
      <c r="H378" s="246"/>
      <c r="I378" s="246"/>
      <c r="J378" s="246"/>
      <c r="K378" s="69">
        <f>SUM(D378:J378)</f>
        <v>5005</v>
      </c>
      <c r="L378" s="246"/>
      <c r="M378" s="246"/>
      <c r="N378" s="69">
        <f>K378*0.3</f>
        <v>1501.5</v>
      </c>
      <c r="O378" s="246"/>
      <c r="P378" s="247"/>
      <c r="Q378" s="203">
        <f>SUM(K378:P378)*C378</f>
        <v>4879.875</v>
      </c>
      <c r="R378" s="248">
        <v>9</v>
      </c>
    </row>
    <row r="379" spans="1:18" ht="48" customHeight="1" thickBot="1">
      <c r="A379" s="429" t="s">
        <v>18</v>
      </c>
      <c r="B379" s="430"/>
      <c r="C379" s="305">
        <f>C377+C378</f>
        <v>1.75</v>
      </c>
      <c r="D379" s="249"/>
      <c r="E379" s="249"/>
      <c r="F379" s="249"/>
      <c r="G379" s="249"/>
      <c r="H379" s="249"/>
      <c r="I379" s="249"/>
      <c r="J379" s="249"/>
      <c r="K379" s="249"/>
      <c r="L379" s="249"/>
      <c r="M379" s="249"/>
      <c r="N379" s="249"/>
      <c r="O379" s="249"/>
      <c r="P379" s="249"/>
      <c r="Q379" s="193">
        <f>Q377+Q378</f>
        <v>13416.975</v>
      </c>
      <c r="R379" s="233"/>
    </row>
    <row r="380" spans="1:18" ht="36" customHeight="1">
      <c r="A380" s="195"/>
      <c r="B380" s="194" t="s">
        <v>54</v>
      </c>
      <c r="C380" s="297">
        <f>C377</f>
        <v>1</v>
      </c>
      <c r="D380" s="195"/>
      <c r="E380" s="195"/>
      <c r="F380" s="195"/>
      <c r="G380" s="195"/>
      <c r="H380" s="195"/>
      <c r="I380" s="195"/>
      <c r="J380" s="195"/>
      <c r="K380" s="195"/>
      <c r="L380" s="195"/>
      <c r="M380" s="195"/>
      <c r="N380" s="195"/>
      <c r="O380" s="195"/>
      <c r="P380" s="195"/>
      <c r="Q380" s="250">
        <f>Q377</f>
        <v>8537.1</v>
      </c>
      <c r="R380" s="195"/>
    </row>
    <row r="381" spans="1:18" ht="36" customHeight="1">
      <c r="A381" s="195"/>
      <c r="B381" s="194" t="s">
        <v>55</v>
      </c>
      <c r="C381" s="297">
        <f>C378</f>
        <v>0.75</v>
      </c>
      <c r="D381" s="195"/>
      <c r="E381" s="195"/>
      <c r="F381" s="195"/>
      <c r="G381" s="195"/>
      <c r="H381" s="195"/>
      <c r="I381" s="195"/>
      <c r="J381" s="195"/>
      <c r="K381" s="195"/>
      <c r="L381" s="195"/>
      <c r="M381" s="195"/>
      <c r="N381" s="195"/>
      <c r="O381" s="195"/>
      <c r="P381" s="195"/>
      <c r="Q381" s="251">
        <f>Q378</f>
        <v>4879.875</v>
      </c>
      <c r="R381" s="195"/>
    </row>
    <row r="382" spans="1:18" s="267" customFormat="1" ht="39" customHeight="1">
      <c r="A382" s="425" t="s">
        <v>84</v>
      </c>
      <c r="B382" s="425"/>
      <c r="C382" s="425"/>
      <c r="D382" s="425"/>
      <c r="E382" s="425"/>
      <c r="F382" s="425"/>
      <c r="G382" s="425"/>
      <c r="H382" s="425"/>
      <c r="I382" s="425"/>
      <c r="J382" s="425"/>
      <c r="K382" s="425"/>
      <c r="L382" s="425"/>
      <c r="M382" s="425"/>
      <c r="N382" s="425"/>
      <c r="O382" s="425"/>
      <c r="P382" s="425"/>
      <c r="Q382" s="425"/>
      <c r="R382" s="425"/>
    </row>
    <row r="383" spans="1:18" ht="37.5">
      <c r="A383" s="50">
        <v>1</v>
      </c>
      <c r="B383" s="51">
        <v>2</v>
      </c>
      <c r="C383" s="397">
        <v>3</v>
      </c>
      <c r="D383" s="51">
        <v>4</v>
      </c>
      <c r="E383" s="51">
        <v>5</v>
      </c>
      <c r="F383" s="51">
        <v>6</v>
      </c>
      <c r="G383" s="51">
        <v>7</v>
      </c>
      <c r="H383" s="51">
        <v>8</v>
      </c>
      <c r="I383" s="51">
        <v>9</v>
      </c>
      <c r="J383" s="51">
        <v>10</v>
      </c>
      <c r="K383" s="51">
        <v>11</v>
      </c>
      <c r="L383" s="51">
        <v>12</v>
      </c>
      <c r="M383" s="51">
        <v>13</v>
      </c>
      <c r="N383" s="51">
        <v>14</v>
      </c>
      <c r="O383" s="51">
        <v>15</v>
      </c>
      <c r="P383" s="51">
        <v>16</v>
      </c>
      <c r="Q383" s="51">
        <v>17</v>
      </c>
      <c r="R383" s="51">
        <v>18</v>
      </c>
    </row>
    <row r="384" spans="1:18" ht="79.5" customHeight="1">
      <c r="A384" s="94">
        <v>1</v>
      </c>
      <c r="B384" s="319" t="s">
        <v>233</v>
      </c>
      <c r="C384" s="292">
        <v>1</v>
      </c>
      <c r="D384" s="55">
        <v>6133</v>
      </c>
      <c r="E384" s="90">
        <f>D384*0.1</f>
        <v>613.3000000000001</v>
      </c>
      <c r="F384" s="55"/>
      <c r="G384" s="55"/>
      <c r="H384" s="55">
        <f>(D384+E384)*0.15</f>
        <v>1011.9449999999999</v>
      </c>
      <c r="I384" s="55"/>
      <c r="J384" s="55"/>
      <c r="K384" s="55">
        <f aca="true" t="shared" si="35" ref="K384:K390">SUM(D384:J384)</f>
        <v>7758.245</v>
      </c>
      <c r="L384" s="55"/>
      <c r="M384" s="55"/>
      <c r="N384" s="55">
        <f>K384*0.2</f>
        <v>1551.6490000000001</v>
      </c>
      <c r="O384" s="82"/>
      <c r="P384" s="82"/>
      <c r="Q384" s="32">
        <f aca="true" t="shared" si="36" ref="Q384:Q390">SUM(K384:P384)*C384</f>
        <v>9309.894</v>
      </c>
      <c r="R384" s="56">
        <v>12</v>
      </c>
    </row>
    <row r="385" spans="1:18" ht="99" customHeight="1">
      <c r="A385" s="94">
        <v>2</v>
      </c>
      <c r="B385" s="319" t="s">
        <v>143</v>
      </c>
      <c r="C385" s="292">
        <v>1</v>
      </c>
      <c r="D385" s="55">
        <v>5265</v>
      </c>
      <c r="E385" s="55"/>
      <c r="F385" s="55"/>
      <c r="G385" s="55"/>
      <c r="H385" s="55">
        <f aca="true" t="shared" si="37" ref="H385:H390">D385*0.15</f>
        <v>789.75</v>
      </c>
      <c r="I385" s="55"/>
      <c r="J385" s="55"/>
      <c r="K385" s="55">
        <f t="shared" si="35"/>
        <v>6054.75</v>
      </c>
      <c r="L385" s="55"/>
      <c r="M385" s="55"/>
      <c r="N385" s="55">
        <f>K385*0.1</f>
        <v>605.475</v>
      </c>
      <c r="O385" s="82"/>
      <c r="P385" s="82"/>
      <c r="Q385" s="32">
        <f t="shared" si="36"/>
        <v>6660.225</v>
      </c>
      <c r="R385" s="56">
        <v>10</v>
      </c>
    </row>
    <row r="386" spans="1:18" ht="42.75" customHeight="1">
      <c r="A386" s="94">
        <v>3</v>
      </c>
      <c r="B386" s="319" t="s">
        <v>265</v>
      </c>
      <c r="C386" s="292">
        <v>0.5</v>
      </c>
      <c r="D386" s="55">
        <v>6133</v>
      </c>
      <c r="E386" s="55"/>
      <c r="F386" s="55"/>
      <c r="G386" s="55"/>
      <c r="H386" s="55">
        <f t="shared" si="37"/>
        <v>919.9499999999999</v>
      </c>
      <c r="I386" s="55"/>
      <c r="J386" s="55"/>
      <c r="K386" s="55">
        <f t="shared" si="35"/>
        <v>7052.95</v>
      </c>
      <c r="L386" s="55"/>
      <c r="M386" s="55"/>
      <c r="N386" s="55">
        <f>K386*0.2</f>
        <v>1410.5900000000001</v>
      </c>
      <c r="O386" s="82"/>
      <c r="P386" s="82"/>
      <c r="Q386" s="32">
        <f t="shared" si="36"/>
        <v>4231.77</v>
      </c>
      <c r="R386" s="56">
        <v>12</v>
      </c>
    </row>
    <row r="387" spans="1:18" ht="39.75" customHeight="1">
      <c r="A387" s="94">
        <v>4</v>
      </c>
      <c r="B387" s="319" t="s">
        <v>144</v>
      </c>
      <c r="C387" s="292">
        <v>3</v>
      </c>
      <c r="D387" s="55">
        <v>5005</v>
      </c>
      <c r="E387" s="55"/>
      <c r="F387" s="55"/>
      <c r="G387" s="55"/>
      <c r="H387" s="55">
        <f t="shared" si="37"/>
        <v>750.75</v>
      </c>
      <c r="I387" s="55"/>
      <c r="J387" s="55"/>
      <c r="K387" s="55">
        <f t="shared" si="35"/>
        <v>5755.75</v>
      </c>
      <c r="L387" s="55"/>
      <c r="M387" s="55"/>
      <c r="N387" s="55">
        <f>K387*0.3</f>
        <v>1726.725</v>
      </c>
      <c r="O387" s="82"/>
      <c r="P387" s="82"/>
      <c r="Q387" s="32">
        <f t="shared" si="36"/>
        <v>22447.425000000003</v>
      </c>
      <c r="R387" s="56">
        <v>9</v>
      </c>
    </row>
    <row r="388" spans="1:18" ht="42" customHeight="1">
      <c r="A388" s="94">
        <v>5</v>
      </c>
      <c r="B388" s="319" t="s">
        <v>162</v>
      </c>
      <c r="C388" s="292">
        <v>1</v>
      </c>
      <c r="D388" s="55">
        <v>4455</v>
      </c>
      <c r="E388" s="55"/>
      <c r="F388" s="55"/>
      <c r="G388" s="55"/>
      <c r="H388" s="55">
        <f t="shared" si="37"/>
        <v>668.25</v>
      </c>
      <c r="I388" s="55"/>
      <c r="J388" s="55"/>
      <c r="K388" s="55">
        <f t="shared" si="35"/>
        <v>5123.25</v>
      </c>
      <c r="L388" s="55"/>
      <c r="M388" s="55"/>
      <c r="N388" s="55">
        <f>K388*0.3</f>
        <v>1536.975</v>
      </c>
      <c r="O388" s="82"/>
      <c r="P388" s="82"/>
      <c r="Q388" s="252">
        <f>SUM(K388:P388)*C388</f>
        <v>6660.225</v>
      </c>
      <c r="R388" s="56">
        <v>7</v>
      </c>
    </row>
    <row r="389" spans="1:18" ht="42" customHeight="1">
      <c r="A389" s="94">
        <v>6</v>
      </c>
      <c r="B389" s="319" t="s">
        <v>209</v>
      </c>
      <c r="C389" s="292">
        <v>1.5</v>
      </c>
      <c r="D389" s="55">
        <v>4195</v>
      </c>
      <c r="E389" s="55"/>
      <c r="F389" s="55"/>
      <c r="G389" s="55"/>
      <c r="H389" s="55">
        <f t="shared" si="37"/>
        <v>629.25</v>
      </c>
      <c r="I389" s="55"/>
      <c r="J389" s="55"/>
      <c r="K389" s="55">
        <f t="shared" si="35"/>
        <v>4824.25</v>
      </c>
      <c r="L389" s="55"/>
      <c r="M389" s="55"/>
      <c r="N389" s="55">
        <f>K389*0.2</f>
        <v>964.85</v>
      </c>
      <c r="O389" s="82"/>
      <c r="P389" s="82"/>
      <c r="Q389" s="252">
        <f>SUM(K389:P389)*C389</f>
        <v>8683.650000000001</v>
      </c>
      <c r="R389" s="56">
        <v>6</v>
      </c>
    </row>
    <row r="390" spans="1:18" ht="30" customHeight="1">
      <c r="A390" s="94">
        <v>7</v>
      </c>
      <c r="B390" s="319" t="s">
        <v>39</v>
      </c>
      <c r="C390" s="300">
        <v>1</v>
      </c>
      <c r="D390" s="69">
        <v>3414</v>
      </c>
      <c r="E390" s="69"/>
      <c r="F390" s="69"/>
      <c r="G390" s="69"/>
      <c r="H390" s="55">
        <f t="shared" si="37"/>
        <v>512.1</v>
      </c>
      <c r="I390" s="69"/>
      <c r="J390" s="69"/>
      <c r="K390" s="69">
        <f t="shared" si="35"/>
        <v>3926.1</v>
      </c>
      <c r="L390" s="69"/>
      <c r="M390" s="69"/>
      <c r="N390" s="69"/>
      <c r="O390" s="95"/>
      <c r="P390" s="95">
        <f>D390*10%</f>
        <v>341.40000000000003</v>
      </c>
      <c r="Q390" s="72">
        <f t="shared" si="36"/>
        <v>4267.5</v>
      </c>
      <c r="R390" s="56">
        <v>3</v>
      </c>
    </row>
    <row r="391" spans="1:18" ht="36" customHeight="1">
      <c r="A391" s="415" t="s">
        <v>18</v>
      </c>
      <c r="B391" s="416"/>
      <c r="C391" s="293">
        <f>SUM(C384:C390)</f>
        <v>9</v>
      </c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95"/>
      <c r="P391" s="95"/>
      <c r="Q391" s="253">
        <f>Q384+Q385+Q386+Q387+Q388+Q390+Q389</f>
        <v>62260.689000000006</v>
      </c>
      <c r="R391" s="56"/>
    </row>
    <row r="392" spans="1:18" ht="20.25" customHeight="1">
      <c r="A392" s="198"/>
      <c r="B392" s="198"/>
      <c r="C392" s="297"/>
      <c r="D392" s="195"/>
      <c r="E392" s="195"/>
      <c r="F392" s="195"/>
      <c r="G392" s="195"/>
      <c r="H392" s="195"/>
      <c r="I392" s="195"/>
      <c r="J392" s="195"/>
      <c r="K392" s="195"/>
      <c r="L392" s="195"/>
      <c r="M392" s="195"/>
      <c r="N392" s="195"/>
      <c r="O392" s="195"/>
      <c r="P392" s="195"/>
      <c r="Q392" s="217"/>
      <c r="R392" s="159"/>
    </row>
    <row r="393" spans="1:18" ht="27.75" customHeight="1">
      <c r="A393" s="198"/>
      <c r="B393" s="254" t="s">
        <v>54</v>
      </c>
      <c r="C393" s="297">
        <v>2.5</v>
      </c>
      <c r="D393" s="195"/>
      <c r="E393" s="195"/>
      <c r="F393" s="195"/>
      <c r="G393" s="195"/>
      <c r="H393" s="195"/>
      <c r="I393" s="195"/>
      <c r="J393" s="195"/>
      <c r="K393" s="195"/>
      <c r="L393" s="195"/>
      <c r="M393" s="195"/>
      <c r="N393" s="195"/>
      <c r="O393" s="195"/>
      <c r="P393" s="195"/>
      <c r="Q393" s="235">
        <f>Q384+Q385+Q386</f>
        <v>20201.889000000003</v>
      </c>
      <c r="R393" s="159"/>
    </row>
    <row r="394" spans="1:18" ht="35.25" customHeight="1">
      <c r="A394" s="198"/>
      <c r="B394" s="254" t="s">
        <v>55</v>
      </c>
      <c r="C394" s="297">
        <f>C387+C388+C389</f>
        <v>5.5</v>
      </c>
      <c r="D394" s="195"/>
      <c r="E394" s="195"/>
      <c r="F394" s="195"/>
      <c r="G394" s="195"/>
      <c r="H394" s="195"/>
      <c r="I394" s="195"/>
      <c r="J394" s="195"/>
      <c r="K394" s="195"/>
      <c r="L394" s="195"/>
      <c r="M394" s="195"/>
      <c r="N394" s="195"/>
      <c r="O394" s="195"/>
      <c r="P394" s="195"/>
      <c r="Q394" s="235">
        <f>Q387+Q388+Q389</f>
        <v>37791.3</v>
      </c>
      <c r="R394" s="159"/>
    </row>
    <row r="395" spans="1:18" ht="35.25" customHeight="1">
      <c r="A395" s="198"/>
      <c r="B395" s="254" t="s">
        <v>44</v>
      </c>
      <c r="C395" s="297">
        <f>C390</f>
        <v>1</v>
      </c>
      <c r="D395" s="195"/>
      <c r="E395" s="195"/>
      <c r="F395" s="195"/>
      <c r="G395" s="195"/>
      <c r="H395" s="195"/>
      <c r="I395" s="195"/>
      <c r="J395" s="195"/>
      <c r="K395" s="195"/>
      <c r="L395" s="195"/>
      <c r="M395" s="195"/>
      <c r="N395" s="195"/>
      <c r="O395" s="195"/>
      <c r="P395" s="195"/>
      <c r="Q395" s="235">
        <f>Q390</f>
        <v>4267.5</v>
      </c>
      <c r="R395" s="159"/>
    </row>
    <row r="396" spans="1:18" ht="3" customHeight="1">
      <c r="A396" s="91"/>
      <c r="B396" s="92"/>
      <c r="C396" s="364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49"/>
    </row>
    <row r="397" spans="1:18" ht="45.75" customHeight="1" hidden="1">
      <c r="A397" s="92"/>
      <c r="B397" s="92"/>
      <c r="C397" s="364"/>
      <c r="D397" s="91"/>
      <c r="E397" s="92"/>
      <c r="F397" s="91"/>
      <c r="G397" s="92"/>
      <c r="H397" s="92"/>
      <c r="I397" s="92"/>
      <c r="J397" s="92"/>
      <c r="K397" s="92"/>
      <c r="L397" s="92"/>
      <c r="M397" s="92"/>
      <c r="N397" s="92"/>
      <c r="O397" s="92"/>
      <c r="P397" s="91"/>
      <c r="Q397" s="91"/>
      <c r="R397" s="49"/>
    </row>
    <row r="398" spans="1:18" ht="45.75" customHeight="1" hidden="1">
      <c r="A398" s="92"/>
      <c r="B398" s="84"/>
      <c r="C398" s="307"/>
      <c r="D398" s="91"/>
      <c r="E398" s="92"/>
      <c r="F398" s="91"/>
      <c r="G398" s="92"/>
      <c r="H398" s="92"/>
      <c r="I398" s="92"/>
      <c r="J398" s="92"/>
      <c r="K398" s="92"/>
      <c r="L398" s="92"/>
      <c r="M398" s="92"/>
      <c r="N398" s="92"/>
      <c r="O398" s="92"/>
      <c r="P398" s="91"/>
      <c r="Q398" s="255"/>
      <c r="R398" s="49"/>
    </row>
    <row r="399" spans="1:18" ht="45.75" customHeight="1" hidden="1">
      <c r="A399" s="92"/>
      <c r="B399" s="84"/>
      <c r="C399" s="327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256"/>
      <c r="R399" s="49"/>
    </row>
    <row r="400" spans="1:18" ht="45.75" customHeight="1" hidden="1">
      <c r="A400" s="92"/>
      <c r="B400" s="84"/>
      <c r="C400" s="327"/>
      <c r="D400" s="180"/>
      <c r="E400" s="180"/>
      <c r="F400" s="180"/>
      <c r="G400" s="180"/>
      <c r="H400" s="180"/>
      <c r="I400" s="180"/>
      <c r="J400" s="180"/>
      <c r="K400" s="180"/>
      <c r="L400" s="180"/>
      <c r="M400" s="180"/>
      <c r="N400" s="180"/>
      <c r="O400" s="180"/>
      <c r="P400" s="180"/>
      <c r="Q400" s="257"/>
      <c r="R400" s="49"/>
    </row>
    <row r="401" spans="1:18" ht="45.75" customHeight="1" hidden="1">
      <c r="A401" s="92"/>
      <c r="B401" s="84"/>
      <c r="C401" s="307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6"/>
      <c r="R401" s="49"/>
    </row>
    <row r="402" spans="1:18" ht="45.75" customHeight="1" hidden="1">
      <c r="A402" s="179"/>
      <c r="B402" s="84"/>
      <c r="C402" s="307"/>
      <c r="D402" s="218"/>
      <c r="E402" s="218"/>
      <c r="F402" s="218"/>
      <c r="G402" s="218"/>
      <c r="H402" s="218"/>
      <c r="I402" s="218"/>
      <c r="J402" s="218"/>
      <c r="K402" s="218"/>
      <c r="L402" s="218"/>
      <c r="M402" s="218"/>
      <c r="N402" s="218"/>
      <c r="O402" s="218"/>
      <c r="P402" s="218"/>
      <c r="Q402" s="218"/>
      <c r="R402" s="49"/>
    </row>
    <row r="403" spans="1:18" ht="45.75" customHeight="1" hidden="1">
      <c r="A403" s="179"/>
      <c r="B403" s="84"/>
      <c r="C403" s="307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135"/>
      <c r="R403" s="49"/>
    </row>
    <row r="404" spans="1:18" ht="45.75" customHeight="1">
      <c r="A404" s="417" t="s">
        <v>275</v>
      </c>
      <c r="B404" s="418"/>
      <c r="C404" s="418"/>
      <c r="D404" s="418"/>
      <c r="E404" s="418"/>
      <c r="F404" s="418"/>
      <c r="G404" s="418"/>
      <c r="H404" s="418"/>
      <c r="I404" s="418"/>
      <c r="J404" s="418"/>
      <c r="K404" s="418"/>
      <c r="L404" s="418"/>
      <c r="M404" s="418"/>
      <c r="N404" s="418"/>
      <c r="O404" s="418"/>
      <c r="P404" s="418"/>
      <c r="Q404" s="418"/>
      <c r="R404" s="418"/>
    </row>
    <row r="405" spans="1:18" ht="45.75" customHeight="1">
      <c r="A405" s="50">
        <v>1</v>
      </c>
      <c r="B405" s="51">
        <v>2</v>
      </c>
      <c r="C405" s="397">
        <v>3</v>
      </c>
      <c r="D405" s="51">
        <v>4</v>
      </c>
      <c r="E405" s="51">
        <v>5</v>
      </c>
      <c r="F405" s="51">
        <v>6</v>
      </c>
      <c r="G405" s="51">
        <v>7</v>
      </c>
      <c r="H405" s="51">
        <v>8</v>
      </c>
      <c r="I405" s="51">
        <v>9</v>
      </c>
      <c r="J405" s="51">
        <v>10</v>
      </c>
      <c r="K405" s="51">
        <v>11</v>
      </c>
      <c r="L405" s="51">
        <v>12</v>
      </c>
      <c r="M405" s="51">
        <v>13</v>
      </c>
      <c r="N405" s="51">
        <v>14</v>
      </c>
      <c r="O405" s="51">
        <v>15</v>
      </c>
      <c r="P405" s="51">
        <v>16</v>
      </c>
      <c r="Q405" s="51">
        <v>17</v>
      </c>
      <c r="R405" s="51">
        <v>18</v>
      </c>
    </row>
    <row r="406" spans="1:18" ht="123" customHeight="1">
      <c r="A406" s="37">
        <v>1</v>
      </c>
      <c r="B406" s="339" t="s">
        <v>281</v>
      </c>
      <c r="C406" s="304">
        <v>1</v>
      </c>
      <c r="D406" s="72">
        <v>6567</v>
      </c>
      <c r="E406" s="33">
        <f>D406*20%</f>
        <v>1313.4</v>
      </c>
      <c r="F406" s="33"/>
      <c r="G406" s="33"/>
      <c r="H406" s="33"/>
      <c r="I406" s="33"/>
      <c r="J406" s="33"/>
      <c r="K406" s="72">
        <f>D406+E406+F406+G406+H406+I406+J406</f>
        <v>7880.4</v>
      </c>
      <c r="L406" s="33"/>
      <c r="M406" s="33"/>
      <c r="N406" s="33">
        <f>K406*30%</f>
        <v>2364.12</v>
      </c>
      <c r="O406" s="33"/>
      <c r="P406" s="33"/>
      <c r="Q406" s="343">
        <f>(K406+L406+M406+N406+P406)*C406</f>
        <v>10244.52</v>
      </c>
      <c r="R406" s="40">
        <v>13</v>
      </c>
    </row>
    <row r="407" spans="1:18" ht="69.75" customHeight="1">
      <c r="A407" s="37">
        <v>2</v>
      </c>
      <c r="B407" s="339" t="s">
        <v>282</v>
      </c>
      <c r="C407" s="304">
        <v>1.5</v>
      </c>
      <c r="D407" s="72">
        <v>6567</v>
      </c>
      <c r="E407" s="33"/>
      <c r="F407" s="33"/>
      <c r="G407" s="33"/>
      <c r="H407" s="33"/>
      <c r="I407" s="33"/>
      <c r="J407" s="33"/>
      <c r="K407" s="72">
        <f aca="true" t="shared" si="38" ref="K407:K412">D407+E407+F407+G407+H407+I407+J407</f>
        <v>6567</v>
      </c>
      <c r="L407" s="33"/>
      <c r="M407" s="33"/>
      <c r="N407" s="33">
        <f>K407*20%</f>
        <v>1313.4</v>
      </c>
      <c r="O407" s="33"/>
      <c r="P407" s="33"/>
      <c r="Q407" s="343">
        <f aca="true" t="shared" si="39" ref="Q407:Q412">(K407+L407+M407+N407+P407)*C407</f>
        <v>11820.599999999999</v>
      </c>
      <c r="R407" s="40">
        <v>13</v>
      </c>
    </row>
    <row r="408" spans="1:18" ht="117" customHeight="1">
      <c r="A408" s="37">
        <v>3</v>
      </c>
      <c r="B408" s="339" t="s">
        <v>276</v>
      </c>
      <c r="C408" s="304">
        <v>0.5</v>
      </c>
      <c r="D408" s="72">
        <v>5265</v>
      </c>
      <c r="E408" s="33"/>
      <c r="F408" s="33"/>
      <c r="G408" s="33"/>
      <c r="H408" s="33"/>
      <c r="I408" s="33"/>
      <c r="J408" s="33"/>
      <c r="K408" s="72">
        <f t="shared" si="38"/>
        <v>5265</v>
      </c>
      <c r="L408" s="33"/>
      <c r="M408" s="33"/>
      <c r="N408" s="33">
        <f>K408*30%</f>
        <v>1579.5</v>
      </c>
      <c r="O408" s="33"/>
      <c r="P408" s="33"/>
      <c r="Q408" s="343">
        <f t="shared" si="39"/>
        <v>3422.25</v>
      </c>
      <c r="R408" s="40">
        <v>10</v>
      </c>
    </row>
    <row r="409" spans="1:18" ht="120.75" customHeight="1">
      <c r="A409" s="37">
        <v>4</v>
      </c>
      <c r="B409" s="339" t="s">
        <v>277</v>
      </c>
      <c r="C409" s="304">
        <v>1</v>
      </c>
      <c r="D409" s="72">
        <v>5265</v>
      </c>
      <c r="E409" s="33"/>
      <c r="F409" s="33"/>
      <c r="G409" s="33"/>
      <c r="H409" s="33"/>
      <c r="I409" s="33"/>
      <c r="J409" s="33"/>
      <c r="K409" s="72">
        <f t="shared" si="38"/>
        <v>5265</v>
      </c>
      <c r="L409" s="33"/>
      <c r="M409" s="33"/>
      <c r="N409" s="33">
        <f>K409*30%</f>
        <v>1579.5</v>
      </c>
      <c r="O409" s="33"/>
      <c r="P409" s="33"/>
      <c r="Q409" s="343">
        <f t="shared" si="39"/>
        <v>6844.5</v>
      </c>
      <c r="R409" s="40">
        <v>10</v>
      </c>
    </row>
    <row r="410" spans="1:18" ht="123" customHeight="1">
      <c r="A410" s="37">
        <v>5</v>
      </c>
      <c r="B410" s="339" t="s">
        <v>278</v>
      </c>
      <c r="C410" s="304">
        <v>5.5</v>
      </c>
      <c r="D410" s="72">
        <v>5265</v>
      </c>
      <c r="E410" s="33"/>
      <c r="F410" s="33"/>
      <c r="G410" s="33"/>
      <c r="H410" s="33"/>
      <c r="I410" s="33"/>
      <c r="J410" s="33"/>
      <c r="K410" s="72">
        <f t="shared" si="38"/>
        <v>5265</v>
      </c>
      <c r="L410" s="33"/>
      <c r="M410" s="33"/>
      <c r="N410" s="33">
        <f>K410*30%</f>
        <v>1579.5</v>
      </c>
      <c r="O410" s="33"/>
      <c r="P410" s="33"/>
      <c r="Q410" s="343">
        <f t="shared" si="39"/>
        <v>37644.75</v>
      </c>
      <c r="R410" s="40">
        <v>10</v>
      </c>
    </row>
    <row r="411" spans="1:18" ht="100.5" customHeight="1">
      <c r="A411" s="37">
        <v>6</v>
      </c>
      <c r="B411" s="339" t="s">
        <v>279</v>
      </c>
      <c r="C411" s="304">
        <v>1</v>
      </c>
      <c r="D411" s="72">
        <v>3674</v>
      </c>
      <c r="E411" s="33"/>
      <c r="F411" s="33"/>
      <c r="G411" s="33"/>
      <c r="H411" s="33"/>
      <c r="I411" s="33"/>
      <c r="J411" s="33"/>
      <c r="K411" s="72">
        <f t="shared" si="38"/>
        <v>3674</v>
      </c>
      <c r="L411" s="33"/>
      <c r="M411" s="33"/>
      <c r="N411" s="33"/>
      <c r="O411" s="33"/>
      <c r="P411" s="33"/>
      <c r="Q411" s="343">
        <f t="shared" si="39"/>
        <v>3674</v>
      </c>
      <c r="R411" s="40">
        <v>4</v>
      </c>
    </row>
    <row r="412" spans="1:18" ht="108.75" customHeight="1">
      <c r="A412" s="37">
        <v>7</v>
      </c>
      <c r="B412" s="339" t="s">
        <v>280</v>
      </c>
      <c r="C412" s="304">
        <v>1.5</v>
      </c>
      <c r="D412" s="72">
        <v>3674</v>
      </c>
      <c r="E412" s="33"/>
      <c r="F412" s="33"/>
      <c r="G412" s="33"/>
      <c r="H412" s="33"/>
      <c r="I412" s="33"/>
      <c r="J412" s="33"/>
      <c r="K412" s="72">
        <f t="shared" si="38"/>
        <v>3674</v>
      </c>
      <c r="L412" s="33"/>
      <c r="M412" s="33"/>
      <c r="N412" s="33"/>
      <c r="O412" s="344"/>
      <c r="P412" s="33">
        <f>K412*0.1</f>
        <v>367.40000000000003</v>
      </c>
      <c r="Q412" s="343">
        <f t="shared" si="39"/>
        <v>6062.1</v>
      </c>
      <c r="R412" s="40">
        <v>4</v>
      </c>
    </row>
    <row r="413" spans="1:18" ht="45.75" customHeight="1">
      <c r="A413" s="37"/>
      <c r="B413" s="111"/>
      <c r="C413" s="296">
        <f>SUM(C406:C412)</f>
        <v>12</v>
      </c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42">
        <f>Q406+Q407+Q408+Q409+Q410+Q411+Q412</f>
        <v>79712.72</v>
      </c>
      <c r="R413" s="40"/>
    </row>
    <row r="414" spans="1:18" ht="43.5" customHeight="1">
      <c r="A414" s="198"/>
      <c r="B414" s="254" t="s">
        <v>54</v>
      </c>
      <c r="C414" s="297">
        <f>C406+C407</f>
        <v>2.5</v>
      </c>
      <c r="D414" s="195"/>
      <c r="E414" s="195"/>
      <c r="F414" s="195"/>
      <c r="G414" s="195"/>
      <c r="H414" s="195"/>
      <c r="I414" s="195"/>
      <c r="J414" s="195"/>
      <c r="K414" s="195"/>
      <c r="L414" s="195"/>
      <c r="M414" s="195"/>
      <c r="N414" s="195"/>
      <c r="O414" s="195"/>
      <c r="P414" s="195"/>
      <c r="Q414" s="294">
        <f>Q406+Q407</f>
        <v>22065.12</v>
      </c>
      <c r="R414" s="159"/>
    </row>
    <row r="415" spans="1:18" ht="43.5" customHeight="1">
      <c r="A415" s="198"/>
      <c r="B415" s="254" t="s">
        <v>55</v>
      </c>
      <c r="C415" s="297">
        <f>C408+C409+C410</f>
        <v>7</v>
      </c>
      <c r="D415" s="195"/>
      <c r="E415" s="195"/>
      <c r="F415" s="195"/>
      <c r="G415" s="195"/>
      <c r="H415" s="195"/>
      <c r="I415" s="195"/>
      <c r="J415" s="195"/>
      <c r="K415" s="195"/>
      <c r="L415" s="195"/>
      <c r="M415" s="195"/>
      <c r="N415" s="195"/>
      <c r="O415" s="195"/>
      <c r="P415" s="195"/>
      <c r="Q415" s="294">
        <f>Q408+Q409+Q410</f>
        <v>47911.5</v>
      </c>
      <c r="R415" s="159"/>
    </row>
    <row r="416" spans="1:18" ht="45.75" customHeight="1">
      <c r="A416" s="198"/>
      <c r="B416" s="254" t="s">
        <v>44</v>
      </c>
      <c r="C416" s="297">
        <f>C412</f>
        <v>1.5</v>
      </c>
      <c r="D416" s="195"/>
      <c r="E416" s="195"/>
      <c r="F416" s="195"/>
      <c r="G416" s="195"/>
      <c r="H416" s="195"/>
      <c r="I416" s="195"/>
      <c r="J416" s="195"/>
      <c r="K416" s="195"/>
      <c r="L416" s="195"/>
      <c r="M416" s="195"/>
      <c r="N416" s="195"/>
      <c r="O416" s="195"/>
      <c r="P416" s="195"/>
      <c r="Q416" s="294">
        <f>Q412</f>
        <v>6062.1</v>
      </c>
      <c r="R416" s="159"/>
    </row>
    <row r="417" spans="1:18" ht="45.75" customHeight="1">
      <c r="A417" s="179"/>
      <c r="B417" s="254" t="s">
        <v>53</v>
      </c>
      <c r="C417" s="297">
        <f>C411</f>
        <v>1</v>
      </c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294">
        <f>Q411</f>
        <v>3674</v>
      </c>
      <c r="R417" s="49"/>
    </row>
    <row r="418" spans="1:18" ht="45.75" customHeight="1">
      <c r="A418" s="417" t="s">
        <v>56</v>
      </c>
      <c r="B418" s="418"/>
      <c r="C418" s="418"/>
      <c r="D418" s="418"/>
      <c r="E418" s="418"/>
      <c r="F418" s="418"/>
      <c r="G418" s="418"/>
      <c r="H418" s="418"/>
      <c r="I418" s="418"/>
      <c r="J418" s="418"/>
      <c r="K418" s="418"/>
      <c r="L418" s="418"/>
      <c r="M418" s="418"/>
      <c r="N418" s="418"/>
      <c r="O418" s="418"/>
      <c r="P418" s="418"/>
      <c r="Q418" s="418"/>
      <c r="R418" s="418"/>
    </row>
    <row r="419" spans="1:18" ht="45.75" customHeight="1">
      <c r="A419" s="50">
        <v>1</v>
      </c>
      <c r="B419" s="51">
        <v>2</v>
      </c>
      <c r="C419" s="362">
        <v>3</v>
      </c>
      <c r="D419" s="51">
        <v>4</v>
      </c>
      <c r="E419" s="51">
        <v>5</v>
      </c>
      <c r="F419" s="51">
        <v>6</v>
      </c>
      <c r="G419" s="51">
        <v>7</v>
      </c>
      <c r="H419" s="51">
        <v>8</v>
      </c>
      <c r="I419" s="51">
        <v>9</v>
      </c>
      <c r="J419" s="51">
        <v>10</v>
      </c>
      <c r="K419" s="51">
        <v>11</v>
      </c>
      <c r="L419" s="51">
        <v>12</v>
      </c>
      <c r="M419" s="51">
        <v>13</v>
      </c>
      <c r="N419" s="51">
        <v>14</v>
      </c>
      <c r="O419" s="51">
        <v>15</v>
      </c>
      <c r="P419" s="51">
        <v>16</v>
      </c>
      <c r="Q419" s="51">
        <v>17</v>
      </c>
      <c r="R419" s="51">
        <v>18</v>
      </c>
    </row>
    <row r="420" spans="1:18" ht="94.5" customHeight="1">
      <c r="A420" s="37">
        <v>1</v>
      </c>
      <c r="B420" s="339" t="s">
        <v>296</v>
      </c>
      <c r="C420" s="304">
        <v>3.5</v>
      </c>
      <c r="D420" s="72">
        <v>6567</v>
      </c>
      <c r="E420" s="33"/>
      <c r="F420" s="33"/>
      <c r="G420" s="33"/>
      <c r="H420" s="33"/>
      <c r="I420" s="33"/>
      <c r="J420" s="33"/>
      <c r="K420" s="72">
        <f>D420+E420+F420+G420+H420+I420+J420</f>
        <v>6567</v>
      </c>
      <c r="L420" s="33"/>
      <c r="M420" s="33"/>
      <c r="N420" s="33">
        <f>K420*20%</f>
        <v>1313.4</v>
      </c>
      <c r="O420" s="33"/>
      <c r="P420" s="33"/>
      <c r="Q420" s="343">
        <f>(K420+L420+M420+N420+P420)*C420</f>
        <v>27581.399999999998</v>
      </c>
      <c r="R420" s="40">
        <v>13</v>
      </c>
    </row>
    <row r="421" spans="1:18" ht="113.25" customHeight="1">
      <c r="A421" s="37">
        <v>2</v>
      </c>
      <c r="B421" s="339" t="s">
        <v>297</v>
      </c>
      <c r="C421" s="304">
        <v>0.5</v>
      </c>
      <c r="D421" s="72">
        <v>6567</v>
      </c>
      <c r="E421" s="33"/>
      <c r="F421" s="33"/>
      <c r="G421" s="33"/>
      <c r="H421" s="33"/>
      <c r="I421" s="33"/>
      <c r="J421" s="33"/>
      <c r="K421" s="72">
        <f>D421+E421+F421+G421+H421+I421+J421</f>
        <v>6567</v>
      </c>
      <c r="L421" s="33"/>
      <c r="M421" s="33"/>
      <c r="N421" s="33">
        <f>K421*30%</f>
        <v>1970.1</v>
      </c>
      <c r="O421" s="33"/>
      <c r="P421" s="33"/>
      <c r="Q421" s="343">
        <f>(K421+L421+M421+N421+P421)*C421</f>
        <v>4268.55</v>
      </c>
      <c r="R421" s="40">
        <v>10</v>
      </c>
    </row>
    <row r="422" spans="1:18" ht="112.5" customHeight="1">
      <c r="A422" s="37">
        <v>3</v>
      </c>
      <c r="B422" s="339" t="s">
        <v>278</v>
      </c>
      <c r="C422" s="304">
        <v>4.5</v>
      </c>
      <c r="D422" s="72">
        <v>5266</v>
      </c>
      <c r="E422" s="33"/>
      <c r="F422" s="33"/>
      <c r="G422" s="33"/>
      <c r="H422" s="33"/>
      <c r="I422" s="33"/>
      <c r="J422" s="33"/>
      <c r="K422" s="72">
        <f>D422+E422+F422+G422+H422+I422+J422</f>
        <v>5266</v>
      </c>
      <c r="L422" s="33"/>
      <c r="M422" s="33"/>
      <c r="N422" s="33">
        <f>K422*30%</f>
        <v>1579.8</v>
      </c>
      <c r="O422" s="33"/>
      <c r="P422" s="33"/>
      <c r="Q422" s="343">
        <f>(K422+L422+M422+N422+P422)*C422</f>
        <v>30806.100000000002</v>
      </c>
      <c r="R422" s="40">
        <v>10</v>
      </c>
    </row>
    <row r="423" spans="1:18" ht="120.75" customHeight="1">
      <c r="A423" s="37">
        <v>4</v>
      </c>
      <c r="B423" s="339" t="s">
        <v>280</v>
      </c>
      <c r="C423" s="304">
        <v>4.5</v>
      </c>
      <c r="D423" s="72">
        <v>3674</v>
      </c>
      <c r="E423" s="33"/>
      <c r="F423" s="33"/>
      <c r="G423" s="33"/>
      <c r="H423" s="33"/>
      <c r="I423" s="33"/>
      <c r="J423" s="33"/>
      <c r="K423" s="72">
        <f>D423+E423+F423+G423+H423+I423+J423</f>
        <v>3674</v>
      </c>
      <c r="L423" s="33"/>
      <c r="M423" s="33"/>
      <c r="N423" s="33"/>
      <c r="O423" s="344"/>
      <c r="P423" s="33">
        <f>K423*0.1</f>
        <v>367.40000000000003</v>
      </c>
      <c r="Q423" s="343">
        <f>(K423+L423+M423+N423+P423)*C423</f>
        <v>18186.3</v>
      </c>
      <c r="R423" s="40">
        <v>4</v>
      </c>
    </row>
    <row r="424" spans="1:18" ht="45.75" customHeight="1">
      <c r="A424" s="37"/>
      <c r="B424" s="111"/>
      <c r="C424" s="296">
        <f>SUM(C420:C423)</f>
        <v>13</v>
      </c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42">
        <f>Q420+Q421+Q422+Q423</f>
        <v>80842.35</v>
      </c>
      <c r="R424" s="40"/>
    </row>
    <row r="425" spans="1:18" ht="45.75" customHeight="1">
      <c r="A425" s="198"/>
      <c r="B425" s="254" t="s">
        <v>54</v>
      </c>
      <c r="C425" s="297">
        <f>C420</f>
        <v>3.5</v>
      </c>
      <c r="D425" s="195"/>
      <c r="E425" s="195"/>
      <c r="F425" s="195"/>
      <c r="G425" s="195"/>
      <c r="H425" s="195"/>
      <c r="I425" s="195"/>
      <c r="J425" s="195"/>
      <c r="K425" s="195"/>
      <c r="L425" s="195"/>
      <c r="M425" s="195"/>
      <c r="N425" s="195"/>
      <c r="O425" s="195"/>
      <c r="P425" s="195"/>
      <c r="Q425" s="294">
        <f>Q420</f>
        <v>27581.399999999998</v>
      </c>
      <c r="R425" s="159"/>
    </row>
    <row r="426" spans="1:18" ht="45.75" customHeight="1">
      <c r="A426" s="198"/>
      <c r="B426" s="254" t="s">
        <v>55</v>
      </c>
      <c r="C426" s="297">
        <f>C421+C422</f>
        <v>5</v>
      </c>
      <c r="D426" s="195"/>
      <c r="E426" s="195"/>
      <c r="F426" s="195"/>
      <c r="G426" s="195"/>
      <c r="H426" s="195"/>
      <c r="I426" s="195"/>
      <c r="J426" s="195"/>
      <c r="K426" s="195"/>
      <c r="L426" s="195"/>
      <c r="M426" s="195"/>
      <c r="N426" s="195"/>
      <c r="O426" s="195"/>
      <c r="P426" s="195"/>
      <c r="Q426" s="294">
        <f>Q421+Q422</f>
        <v>35074.65</v>
      </c>
      <c r="R426" s="159"/>
    </row>
    <row r="427" spans="1:18" ht="45.75" customHeight="1">
      <c r="A427" s="198"/>
      <c r="B427" s="254" t="s">
        <v>44</v>
      </c>
      <c r="C427" s="297">
        <f>C423</f>
        <v>4.5</v>
      </c>
      <c r="D427" s="195"/>
      <c r="E427" s="195"/>
      <c r="F427" s="195"/>
      <c r="G427" s="195"/>
      <c r="H427" s="195"/>
      <c r="I427" s="195"/>
      <c r="J427" s="195"/>
      <c r="K427" s="195"/>
      <c r="L427" s="195"/>
      <c r="M427" s="195"/>
      <c r="N427" s="195"/>
      <c r="O427" s="195"/>
      <c r="P427" s="195"/>
      <c r="Q427" s="294">
        <f>Q423</f>
        <v>18186.3</v>
      </c>
      <c r="R427" s="159"/>
    </row>
    <row r="428" spans="1:18" ht="45.75" customHeight="1">
      <c r="A428" s="179"/>
      <c r="B428" s="254"/>
      <c r="C428" s="297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294"/>
      <c r="R428" s="49"/>
    </row>
    <row r="429" spans="1:18" ht="45.75" customHeight="1">
      <c r="A429" s="179"/>
      <c r="B429" s="84"/>
      <c r="C429" s="307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135"/>
      <c r="R429" s="49"/>
    </row>
    <row r="430" spans="1:19" ht="84.75" customHeight="1">
      <c r="A430" s="41"/>
      <c r="B430" s="354" t="s">
        <v>287</v>
      </c>
      <c r="C430" s="328">
        <f>SUM(C431:C434)</f>
        <v>265.25</v>
      </c>
      <c r="D430" s="419"/>
      <c r="E430" s="420"/>
      <c r="F430" s="420"/>
      <c r="G430" s="420"/>
      <c r="H430" s="420"/>
      <c r="I430" s="420"/>
      <c r="J430" s="420"/>
      <c r="K430" s="420"/>
      <c r="L430" s="420"/>
      <c r="M430" s="420"/>
      <c r="N430" s="420"/>
      <c r="O430" s="420"/>
      <c r="P430" s="421"/>
      <c r="Q430" s="324">
        <f>SUM(Q431:Q434)</f>
        <v>1627019.76935</v>
      </c>
      <c r="R430" s="49"/>
      <c r="S430" s="268"/>
    </row>
    <row r="431" spans="1:19" ht="37.5" customHeight="1">
      <c r="A431" s="41"/>
      <c r="B431" s="258" t="s">
        <v>54</v>
      </c>
      <c r="C431" s="329">
        <f>C22+C136+C181+C227+C251+C289+C310+C336+C348+C360+C372+C380+C393+C414+C425</f>
        <v>66.5</v>
      </c>
      <c r="D431" s="409"/>
      <c r="E431" s="410"/>
      <c r="F431" s="410"/>
      <c r="G431" s="410"/>
      <c r="H431" s="410"/>
      <c r="I431" s="410"/>
      <c r="J431" s="410"/>
      <c r="K431" s="410"/>
      <c r="L431" s="410"/>
      <c r="M431" s="410"/>
      <c r="N431" s="410"/>
      <c r="O431" s="410"/>
      <c r="P431" s="411"/>
      <c r="Q431" s="340">
        <f>Q22+Q136+Q181+Q227+Q251+Q289+Q310+Q336+Q348+Q360+Q372+Q380+Q393+Q414+4166.84</f>
        <v>513553.0752000001</v>
      </c>
      <c r="R431" s="49"/>
      <c r="S431" s="268"/>
    </row>
    <row r="432" spans="1:19" ht="37.5" customHeight="1">
      <c r="A432" s="41"/>
      <c r="B432" s="258" t="s">
        <v>55</v>
      </c>
      <c r="C432" s="329">
        <f>C137+C211+C228+C252+C262+C274+C290+C311+C337+C373+C381+C394+C415+C426</f>
        <v>99.25</v>
      </c>
      <c r="D432" s="422"/>
      <c r="E432" s="423"/>
      <c r="F432" s="423"/>
      <c r="G432" s="423"/>
      <c r="H432" s="423"/>
      <c r="I432" s="423"/>
      <c r="J432" s="423"/>
      <c r="K432" s="423"/>
      <c r="L432" s="423"/>
      <c r="M432" s="423"/>
      <c r="N432" s="423"/>
      <c r="O432" s="423"/>
      <c r="P432" s="424"/>
      <c r="Q432" s="340">
        <f>Q137+Q211+Q228+Q252+Q262+Q274+Q290+Q311+Q337+Q373+Q381+Q394+Q415</f>
        <v>679760.8251499999</v>
      </c>
      <c r="R432" s="49"/>
      <c r="S432" s="268"/>
    </row>
    <row r="433" spans="1:19" ht="39.75" customHeight="1">
      <c r="A433" s="41"/>
      <c r="B433" s="258" t="s">
        <v>44</v>
      </c>
      <c r="C433" s="329">
        <f>C138+C218+C253+C263+C275+C291+C312+C338+C349+C361+C374+C395+C416+C427</f>
        <v>47.75</v>
      </c>
      <c r="D433" s="409"/>
      <c r="E433" s="410"/>
      <c r="F433" s="410"/>
      <c r="G433" s="410"/>
      <c r="H433" s="410"/>
      <c r="I433" s="410"/>
      <c r="J433" s="410"/>
      <c r="K433" s="410"/>
      <c r="L433" s="410"/>
      <c r="M433" s="410"/>
      <c r="N433" s="410"/>
      <c r="O433" s="410"/>
      <c r="P433" s="411"/>
      <c r="Q433" s="340">
        <f>Q138+Q218+Q253+Q263+Q275+Q291+Q312+Q338+Q349+Q361+Q374+Q395+Q416</f>
        <v>174953.7</v>
      </c>
      <c r="R433" s="49"/>
      <c r="S433" s="268"/>
    </row>
    <row r="434" spans="1:19" ht="42" customHeight="1">
      <c r="A434" s="41"/>
      <c r="B434" s="258" t="s">
        <v>57</v>
      </c>
      <c r="C434" s="329">
        <f>C23+C47+C54+C62+C111+C76+C139+C219+C313+C339+C417+C354</f>
        <v>51.75</v>
      </c>
      <c r="D434" s="412"/>
      <c r="E434" s="413"/>
      <c r="F434" s="413"/>
      <c r="G434" s="413"/>
      <c r="H434" s="413"/>
      <c r="I434" s="413"/>
      <c r="J434" s="413"/>
      <c r="K434" s="413"/>
      <c r="L434" s="413"/>
      <c r="M434" s="413"/>
      <c r="N434" s="413"/>
      <c r="O434" s="413"/>
      <c r="P434" s="414"/>
      <c r="Q434" s="340">
        <f>Q23+Q47+Q54+Q62+Q111+Q76+Q139+Q219+Q313+Q339+Q417+Q354-4018.72</f>
        <v>258752.16900000002</v>
      </c>
      <c r="R434" s="49"/>
      <c r="S434" s="268"/>
    </row>
    <row r="435" spans="1:18" ht="45.75" customHeight="1">
      <c r="A435" s="49"/>
      <c r="B435" s="41"/>
      <c r="C435" s="363"/>
      <c r="D435" s="49"/>
      <c r="E435" s="41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</row>
    <row r="436" spans="1:18" ht="45.75" customHeight="1">
      <c r="A436" s="41"/>
      <c r="B436" s="49"/>
      <c r="C436" s="363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</row>
    <row r="437" spans="1:18" ht="45.75" customHeight="1">
      <c r="A437" s="49"/>
      <c r="B437" s="41"/>
      <c r="C437" s="363"/>
      <c r="D437" s="49"/>
      <c r="E437" s="49"/>
      <c r="F437" s="49"/>
      <c r="G437" s="49"/>
      <c r="H437" s="49"/>
      <c r="I437" s="196"/>
      <c r="J437" s="49"/>
      <c r="K437" s="49"/>
      <c r="L437" s="49"/>
      <c r="M437" s="49"/>
      <c r="N437" s="49"/>
      <c r="O437" s="49"/>
      <c r="P437" s="49"/>
      <c r="Q437" s="49"/>
      <c r="R437" s="49"/>
    </row>
    <row r="438" spans="1:18" ht="26.25">
      <c r="A438" s="22"/>
      <c r="B438" s="20"/>
      <c r="C438" s="359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</row>
    <row r="439" ht="18.75">
      <c r="A439" s="12"/>
    </row>
    <row r="440" ht="18.75">
      <c r="A440" s="12"/>
    </row>
    <row r="441" ht="18.75">
      <c r="A441" s="12"/>
    </row>
  </sheetData>
  <sheetProtection/>
  <mergeCells count="122">
    <mergeCell ref="B7:B8"/>
    <mergeCell ref="C7:C8"/>
    <mergeCell ref="D7:D8"/>
    <mergeCell ref="E7:J7"/>
    <mergeCell ref="K7:K8"/>
    <mergeCell ref="L7:N7"/>
    <mergeCell ref="A12:M12"/>
    <mergeCell ref="A13:M13"/>
    <mergeCell ref="A50:R50"/>
    <mergeCell ref="A54:B54"/>
    <mergeCell ref="O7:P7"/>
    <mergeCell ref="Q7:Q8"/>
    <mergeCell ref="R7:R8"/>
    <mergeCell ref="A10:M10"/>
    <mergeCell ref="A11:M11"/>
    <mergeCell ref="A7:A8"/>
    <mergeCell ref="A56:R56"/>
    <mergeCell ref="A62:B62"/>
    <mergeCell ref="A110:B110"/>
    <mergeCell ref="B113:C113"/>
    <mergeCell ref="B114:C114"/>
    <mergeCell ref="B115:C115"/>
    <mergeCell ref="A65:R65"/>
    <mergeCell ref="A76:B76"/>
    <mergeCell ref="A97:A98"/>
    <mergeCell ref="B97:B98"/>
    <mergeCell ref="C97:C98"/>
    <mergeCell ref="D97:D98"/>
    <mergeCell ref="C118:C120"/>
    <mergeCell ref="D118:D120"/>
    <mergeCell ref="E118:J118"/>
    <mergeCell ref="K118:K120"/>
    <mergeCell ref="Q97:Q98"/>
    <mergeCell ref="R97:R98"/>
    <mergeCell ref="E97:J97"/>
    <mergeCell ref="K97:K98"/>
    <mergeCell ref="L97:N97"/>
    <mergeCell ref="O97:P97"/>
    <mergeCell ref="O118:P118"/>
    <mergeCell ref="Q118:Q120"/>
    <mergeCell ref="R118:R120"/>
    <mergeCell ref="E119:E120"/>
    <mergeCell ref="F119:F120"/>
    <mergeCell ref="H119:H120"/>
    <mergeCell ref="I119:I120"/>
    <mergeCell ref="J119:J120"/>
    <mergeCell ref="L119:L120"/>
    <mergeCell ref="G147:G148"/>
    <mergeCell ref="M119:M120"/>
    <mergeCell ref="N119:N120"/>
    <mergeCell ref="O119:O120"/>
    <mergeCell ref="P119:P120"/>
    <mergeCell ref="A122:R122"/>
    <mergeCell ref="A141:R141"/>
    <mergeCell ref="A118:A120"/>
    <mergeCell ref="B118:B120"/>
    <mergeCell ref="L118:N118"/>
    <mergeCell ref="J147:J148"/>
    <mergeCell ref="L147:L148"/>
    <mergeCell ref="M147:M148"/>
    <mergeCell ref="P147:P148"/>
    <mergeCell ref="R147:R148"/>
    <mergeCell ref="B147:B148"/>
    <mergeCell ref="C147:C148"/>
    <mergeCell ref="D147:D148"/>
    <mergeCell ref="E147:E148"/>
    <mergeCell ref="F147:F148"/>
    <mergeCell ref="B177:R177"/>
    <mergeCell ref="A190:A191"/>
    <mergeCell ref="B190:B191"/>
    <mergeCell ref="C190:C191"/>
    <mergeCell ref="D190:D191"/>
    <mergeCell ref="E190:E191"/>
    <mergeCell ref="F190:F191"/>
    <mergeCell ref="G190:G191"/>
    <mergeCell ref="I190:I191"/>
    <mergeCell ref="J190:J191"/>
    <mergeCell ref="L190:L191"/>
    <mergeCell ref="M190:M191"/>
    <mergeCell ref="O190:O191"/>
    <mergeCell ref="P190:P191"/>
    <mergeCell ref="Q190:Q191"/>
    <mergeCell ref="R190:R191"/>
    <mergeCell ref="A237:R237"/>
    <mergeCell ref="A211:B211"/>
    <mergeCell ref="E213:M213"/>
    <mergeCell ref="A217:B217"/>
    <mergeCell ref="E221:K221"/>
    <mergeCell ref="A230:R230"/>
    <mergeCell ref="B234:D234"/>
    <mergeCell ref="A239:R239"/>
    <mergeCell ref="A250:B250"/>
    <mergeCell ref="A254:R254"/>
    <mergeCell ref="A260:B260"/>
    <mergeCell ref="A266:R266"/>
    <mergeCell ref="A272:B272"/>
    <mergeCell ref="A273:B273"/>
    <mergeCell ref="A274:B274"/>
    <mergeCell ref="A275:B275"/>
    <mergeCell ref="A277:R277"/>
    <mergeCell ref="A287:B287"/>
    <mergeCell ref="A293:R293"/>
    <mergeCell ref="A307:R307"/>
    <mergeCell ref="A308:B308"/>
    <mergeCell ref="A314:R314"/>
    <mergeCell ref="A334:B334"/>
    <mergeCell ref="A347:B347"/>
    <mergeCell ref="D356:O356"/>
    <mergeCell ref="A359:B359"/>
    <mergeCell ref="A365:R365"/>
    <mergeCell ref="A371:B371"/>
    <mergeCell ref="A375:R375"/>
    <mergeCell ref="A379:B379"/>
    <mergeCell ref="A382:R382"/>
    <mergeCell ref="D433:P433"/>
    <mergeCell ref="D434:P434"/>
    <mergeCell ref="A391:B391"/>
    <mergeCell ref="A404:R404"/>
    <mergeCell ref="A418:R418"/>
    <mergeCell ref="D430:P430"/>
    <mergeCell ref="D431:P431"/>
    <mergeCell ref="D432:P432"/>
  </mergeCells>
  <printOptions horizontalCentered="1"/>
  <pageMargins left="0.2362204724409449" right="0.2362204724409449" top="0.7480314960629921" bottom="0" header="0.31496062992125984" footer="0.31496062992125984"/>
  <pageSetup fitToHeight="0" fitToWidth="1" horizontalDpi="600" verticalDpi="600" orientation="landscape" paperSize="9" scale="29" r:id="rId3"/>
  <rowBreaks count="3" manualBreakCount="3">
    <brk id="193" max="17" man="1"/>
    <brk id="220" max="17" man="1"/>
    <brk id="364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S17"/>
  <sheetViews>
    <sheetView view="pageBreakPreview" zoomScale="75" zoomScaleNormal="75" zoomScaleSheetLayoutView="75" zoomScalePageLayoutView="0" workbookViewId="0" topLeftCell="A1">
      <selection activeCell="A8" sqref="A8:S8"/>
    </sheetView>
  </sheetViews>
  <sheetFormatPr defaultColWidth="9.00390625" defaultRowHeight="12.75"/>
  <cols>
    <col min="1" max="1" width="4.875" style="4" customWidth="1"/>
    <col min="2" max="2" width="27.875" style="4" customWidth="1"/>
    <col min="3" max="3" width="15.75390625" style="4" customWidth="1"/>
    <col min="4" max="4" width="8.00390625" style="4" customWidth="1"/>
    <col min="5" max="5" width="9.625" style="4" customWidth="1"/>
    <col min="6" max="6" width="7.375" style="4" customWidth="1"/>
    <col min="7" max="7" width="4.875" style="4" customWidth="1"/>
    <col min="8" max="8" width="11.625" style="4" customWidth="1"/>
    <col min="9" max="9" width="9.75390625" style="4" customWidth="1"/>
    <col min="10" max="10" width="12.25390625" style="4" customWidth="1"/>
    <col min="11" max="11" width="11.375" style="4" customWidth="1"/>
    <col min="12" max="12" width="8.375" style="4" customWidth="1"/>
    <col min="13" max="13" width="9.875" style="4" bestFit="1" customWidth="1"/>
    <col min="14" max="14" width="9.25390625" style="4" bestFit="1" customWidth="1"/>
    <col min="15" max="15" width="10.25390625" style="4" customWidth="1"/>
    <col min="16" max="16" width="7.875" style="4" customWidth="1"/>
    <col min="17" max="17" width="9.875" style="4" customWidth="1"/>
    <col min="18" max="18" width="9.75390625" style="4" customWidth="1"/>
    <col min="19" max="19" width="11.625" style="4" customWidth="1"/>
    <col min="20" max="16384" width="9.125" style="4" customWidth="1"/>
  </cols>
  <sheetData>
    <row r="1" spans="1:8" ht="15.75">
      <c r="A1" s="13"/>
      <c r="H1" s="13"/>
    </row>
    <row r="2" spans="1:19" ht="16.5">
      <c r="A2" s="13"/>
      <c r="B2" s="512"/>
      <c r="C2" s="512"/>
      <c r="D2" s="512"/>
      <c r="E2" s="512"/>
      <c r="F2" s="11"/>
      <c r="G2" s="11"/>
      <c r="H2" s="11"/>
      <c r="I2" s="11"/>
      <c r="L2" s="512" t="s">
        <v>319</v>
      </c>
      <c r="M2" s="512"/>
      <c r="N2" s="512"/>
      <c r="O2" s="512"/>
      <c r="P2" s="512"/>
      <c r="Q2" s="512"/>
      <c r="R2" s="512"/>
      <c r="S2" s="19"/>
    </row>
    <row r="3" spans="1:19" ht="16.5">
      <c r="A3" s="13"/>
      <c r="B3" s="512"/>
      <c r="C3" s="512"/>
      <c r="D3" s="512"/>
      <c r="E3" s="512"/>
      <c r="F3" s="11"/>
      <c r="G3" s="11"/>
      <c r="H3" s="11"/>
      <c r="I3" s="11"/>
      <c r="L3" s="511" t="s">
        <v>318</v>
      </c>
      <c r="M3" s="511"/>
      <c r="N3" s="511"/>
      <c r="O3" s="511"/>
      <c r="P3" s="511"/>
      <c r="Q3" s="511"/>
      <c r="R3" s="511"/>
      <c r="S3" s="511"/>
    </row>
    <row r="4" spans="1:19" ht="15.75">
      <c r="A4" s="13"/>
      <c r="B4" s="511"/>
      <c r="C4" s="511"/>
      <c r="D4" s="511"/>
      <c r="E4" s="511"/>
      <c r="F4" s="7"/>
      <c r="G4" s="7"/>
      <c r="H4" s="7"/>
      <c r="I4" s="7"/>
      <c r="L4" s="511" t="s">
        <v>320</v>
      </c>
      <c r="M4" s="511"/>
      <c r="N4" s="511"/>
      <c r="O4" s="511"/>
      <c r="P4" s="511"/>
      <c r="Q4" s="511"/>
      <c r="R4" s="511"/>
      <c r="S4" s="511"/>
    </row>
    <row r="5" spans="1:19" ht="15.75">
      <c r="A5" s="13"/>
      <c r="B5" s="513"/>
      <c r="C5" s="513"/>
      <c r="D5" s="513"/>
      <c r="E5" s="513"/>
      <c r="F5" s="513"/>
      <c r="G5" s="513"/>
      <c r="H5" s="513"/>
      <c r="I5" s="513"/>
      <c r="J5" s="513"/>
      <c r="K5" s="511"/>
      <c r="L5" s="511"/>
      <c r="M5" s="511"/>
      <c r="N5" s="511"/>
      <c r="O5" s="511"/>
      <c r="P5" s="511"/>
      <c r="Q5" s="511"/>
      <c r="R5" s="511"/>
      <c r="S5" s="511"/>
    </row>
    <row r="6" spans="1:17" ht="18">
      <c r="A6" s="13"/>
      <c r="L6" s="5"/>
      <c r="M6" s="14"/>
      <c r="N6" s="14"/>
      <c r="O6" s="14"/>
      <c r="P6" s="14"/>
      <c r="Q6" s="14"/>
    </row>
    <row r="7" spans="1:17" ht="21.75" customHeight="1">
      <c r="A7" s="13"/>
      <c r="J7" s="286"/>
      <c r="L7" s="5"/>
      <c r="M7" s="14"/>
      <c r="N7" s="14"/>
      <c r="O7" s="14"/>
      <c r="P7" s="14"/>
      <c r="Q7" s="14"/>
    </row>
    <row r="8" spans="1:19" ht="24" customHeight="1">
      <c r="A8" s="510" t="s">
        <v>75</v>
      </c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</row>
    <row r="9" spans="1:19" ht="23.25" customHeight="1">
      <c r="A9" s="510" t="s">
        <v>79</v>
      </c>
      <c r="B9" s="510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</row>
    <row r="10" spans="1:19" ht="44.25" customHeight="1" thickBot="1">
      <c r="A10" s="514" t="s">
        <v>316</v>
      </c>
      <c r="B10" s="514"/>
      <c r="C10" s="514"/>
      <c r="D10" s="514"/>
      <c r="E10" s="514"/>
      <c r="F10" s="514"/>
      <c r="G10" s="514"/>
      <c r="H10" s="514"/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4"/>
    </row>
    <row r="11" spans="1:19" s="5" customFormat="1" ht="57" customHeight="1" thickBot="1">
      <c r="A11" s="515" t="s">
        <v>59</v>
      </c>
      <c r="B11" s="518" t="s">
        <v>60</v>
      </c>
      <c r="C11" s="518" t="s">
        <v>61</v>
      </c>
      <c r="D11" s="518" t="s">
        <v>62</v>
      </c>
      <c r="E11" s="518" t="s">
        <v>63</v>
      </c>
      <c r="F11" s="523" t="s">
        <v>64</v>
      </c>
      <c r="G11" s="527"/>
      <c r="H11" s="15" t="s">
        <v>65</v>
      </c>
      <c r="I11" s="285" t="s">
        <v>66</v>
      </c>
      <c r="J11" s="519" t="s">
        <v>71</v>
      </c>
      <c r="K11" s="527" t="s">
        <v>67</v>
      </c>
      <c r="L11" s="527"/>
      <c r="M11" s="527"/>
      <c r="N11" s="527"/>
      <c r="O11" s="527"/>
      <c r="P11" s="527"/>
      <c r="Q11" s="527"/>
      <c r="R11" s="524"/>
      <c r="S11" s="518" t="s">
        <v>96</v>
      </c>
    </row>
    <row r="12" spans="1:19" s="5" customFormat="1" ht="19.5" customHeight="1" thickBot="1">
      <c r="A12" s="516"/>
      <c r="B12" s="519"/>
      <c r="C12" s="519"/>
      <c r="D12" s="519"/>
      <c r="E12" s="519"/>
      <c r="F12" s="518" t="s">
        <v>68</v>
      </c>
      <c r="G12" s="518" t="s">
        <v>69</v>
      </c>
      <c r="H12" s="16" t="s">
        <v>200</v>
      </c>
      <c r="I12" s="518" t="s">
        <v>70</v>
      </c>
      <c r="J12" s="520"/>
      <c r="K12" s="523" t="s">
        <v>47</v>
      </c>
      <c r="L12" s="524"/>
      <c r="M12" s="523" t="s">
        <v>72</v>
      </c>
      <c r="N12" s="524"/>
      <c r="O12" s="523" t="s">
        <v>48</v>
      </c>
      <c r="P12" s="524"/>
      <c r="Q12" s="521" t="s">
        <v>49</v>
      </c>
      <c r="R12" s="522"/>
      <c r="S12" s="519"/>
    </row>
    <row r="13" spans="1:19" s="5" customFormat="1" ht="38.25" thickBot="1">
      <c r="A13" s="517"/>
      <c r="B13" s="520"/>
      <c r="C13" s="520"/>
      <c r="D13" s="520"/>
      <c r="E13" s="520"/>
      <c r="F13" s="520"/>
      <c r="G13" s="520"/>
      <c r="H13" s="17" t="s">
        <v>317</v>
      </c>
      <c r="I13" s="520"/>
      <c r="J13" s="275">
        <f>L14+N14+P14+R14</f>
        <v>1671</v>
      </c>
      <c r="K13" s="269" t="s">
        <v>73</v>
      </c>
      <c r="L13" s="269" t="s">
        <v>71</v>
      </c>
      <c r="M13" s="269" t="s">
        <v>73</v>
      </c>
      <c r="N13" s="269" t="s">
        <v>71</v>
      </c>
      <c r="O13" s="269" t="s">
        <v>73</v>
      </c>
      <c r="P13" s="269" t="s">
        <v>71</v>
      </c>
      <c r="Q13" s="269" t="s">
        <v>73</v>
      </c>
      <c r="R13" s="269" t="s">
        <v>71</v>
      </c>
      <c r="S13" s="520"/>
    </row>
    <row r="14" spans="1:19" s="5" customFormat="1" ht="48" customHeight="1" thickBot="1">
      <c r="A14" s="353">
        <v>1</v>
      </c>
      <c r="B14" s="270" t="s">
        <v>259</v>
      </c>
      <c r="C14" s="271" t="s">
        <v>128</v>
      </c>
      <c r="D14" s="271">
        <v>1</v>
      </c>
      <c r="E14" s="272">
        <v>120</v>
      </c>
      <c r="F14" s="271">
        <v>280</v>
      </c>
      <c r="G14" s="271" t="s">
        <v>74</v>
      </c>
      <c r="H14" s="273">
        <v>38130</v>
      </c>
      <c r="I14" s="274">
        <v>265.25</v>
      </c>
      <c r="J14" s="275">
        <v>1671</v>
      </c>
      <c r="K14" s="276">
        <v>66.5</v>
      </c>
      <c r="L14" s="276">
        <v>543.3</v>
      </c>
      <c r="M14" s="277">
        <v>99.25</v>
      </c>
      <c r="N14" s="276">
        <v>679.8</v>
      </c>
      <c r="O14" s="277">
        <v>47.75</v>
      </c>
      <c r="P14" s="276">
        <v>175</v>
      </c>
      <c r="Q14" s="277">
        <v>51.75</v>
      </c>
      <c r="R14" s="276">
        <v>272.9</v>
      </c>
      <c r="S14" s="271">
        <v>15.5</v>
      </c>
    </row>
    <row r="15" spans="1:19" s="5" customFormat="1" ht="31.5" customHeight="1" thickBot="1">
      <c r="A15" s="278"/>
      <c r="B15" s="279" t="s">
        <v>285</v>
      </c>
      <c r="C15" s="278"/>
      <c r="D15" s="270">
        <f>SUM(D14:D14)</f>
        <v>1</v>
      </c>
      <c r="E15" s="280">
        <f>SUM(E14:E14)</f>
        <v>120</v>
      </c>
      <c r="F15" s="525">
        <f>F14</f>
        <v>280</v>
      </c>
      <c r="G15" s="526"/>
      <c r="H15" s="281">
        <f>SUM(H14:H14)</f>
        <v>38130</v>
      </c>
      <c r="I15" s="315">
        <f>SUM(I14:I14)</f>
        <v>265.25</v>
      </c>
      <c r="J15" s="283">
        <v>1671</v>
      </c>
      <c r="K15" s="287">
        <v>66.5</v>
      </c>
      <c r="L15" s="284">
        <v>543.3</v>
      </c>
      <c r="M15" s="282">
        <v>99.25</v>
      </c>
      <c r="N15" s="284">
        <v>679.75</v>
      </c>
      <c r="O15" s="282">
        <v>47.75</v>
      </c>
      <c r="P15" s="284">
        <v>175</v>
      </c>
      <c r="Q15" s="282">
        <v>51.75</v>
      </c>
      <c r="R15" s="284">
        <v>272.9</v>
      </c>
      <c r="S15" s="270">
        <f>SUM(S14:S14)</f>
        <v>15.5</v>
      </c>
    </row>
    <row r="16" ht="18.75">
      <c r="A16" s="18"/>
    </row>
    <row r="17" ht="18.75">
      <c r="A17" s="18"/>
    </row>
  </sheetData>
  <sheetProtection/>
  <mergeCells count="28">
    <mergeCell ref="F15:G15"/>
    <mergeCell ref="F11:G11"/>
    <mergeCell ref="J11:J12"/>
    <mergeCell ref="K11:R11"/>
    <mergeCell ref="S11:S13"/>
    <mergeCell ref="F12:F13"/>
    <mergeCell ref="G12:G13"/>
    <mergeCell ref="I12:I13"/>
    <mergeCell ref="K12:L12"/>
    <mergeCell ref="M12:N12"/>
    <mergeCell ref="A9:S9"/>
    <mergeCell ref="A10:S10"/>
    <mergeCell ref="A11:A13"/>
    <mergeCell ref="B11:B13"/>
    <mergeCell ref="C11:C13"/>
    <mergeCell ref="Q12:R12"/>
    <mergeCell ref="D11:D13"/>
    <mergeCell ref="E11:E13"/>
    <mergeCell ref="O12:P12"/>
    <mergeCell ref="A8:S8"/>
    <mergeCell ref="K5:S5"/>
    <mergeCell ref="B2:E2"/>
    <mergeCell ref="L2:R2"/>
    <mergeCell ref="B3:E3"/>
    <mergeCell ref="L3:S3"/>
    <mergeCell ref="B4:E4"/>
    <mergeCell ref="L4:S4"/>
    <mergeCell ref="B5:J5"/>
  </mergeCells>
  <printOptions/>
  <pageMargins left="0.25" right="0.14" top="0.16" bottom="0.18" header="0.15" footer="0.1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Таня</cp:lastModifiedBy>
  <cp:lastPrinted>2023-02-15T10:26:30Z</cp:lastPrinted>
  <dcterms:created xsi:type="dcterms:W3CDTF">2007-05-25T06:15:19Z</dcterms:created>
  <dcterms:modified xsi:type="dcterms:W3CDTF">2023-03-24T13:13:08Z</dcterms:modified>
  <cp:category/>
  <cp:version/>
  <cp:contentType/>
  <cp:contentStatus/>
</cp:coreProperties>
</file>