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685" activeTab="5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</externalReferences>
  <definedNames>
    <definedName name="_xlnm.Print_Area" localSheetId="1">'Додаток 2'!$A$1:$F$37</definedName>
    <definedName name="_xlnm.Print_Area" localSheetId="2">'Додаток 3'!$A$1:$P$113</definedName>
    <definedName name="_xlnm.Print_Area" localSheetId="3">'Додаток 5'!$A$1:$F$65</definedName>
    <definedName name="_xlnm.Print_Area" localSheetId="4">'Додаток 6'!$A$1:$J$67</definedName>
    <definedName name="_xlnm.Print_Area" localSheetId="0">'додаток1'!$A$1:$F$117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3'!$A$1:$P$112</definedName>
    <definedName name="_xlnm.Print_Area" localSheetId="3">'Додаток 5'!$A$1:$F$64</definedName>
    <definedName name="_xlnm.Print_Area" localSheetId="4">'Додаток 6'!$A$1:$J$67</definedName>
    <definedName name="_xlnm.Print_Area" localSheetId="5">'Додаток7'!$A$1:$J$95</definedName>
  </definedNames>
  <calcPr fullCalcOnLoad="1"/>
</workbook>
</file>

<file path=xl/sharedStrings.xml><?xml version="1.0" encoding="utf-8"?>
<sst xmlns="http://schemas.openxmlformats.org/spreadsheetml/2006/main" count="937" uniqueCount="510">
  <si>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</si>
  <si>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</si>
  <si>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</si>
  <si>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</si>
  <si>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</si>
  <si>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</si>
  <si>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</si>
  <si>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</si>
  <si>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</si>
  <si>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</si>
  <si>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</si>
  <si>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</si>
  <si>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</si>
  <si>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</si>
  <si>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</si>
  <si>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</si>
  <si>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</si>
  <si>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</si>
  <si>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</si>
  <si>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</si>
  <si>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</si>
  <si>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</si>
  <si>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</si>
  <si>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</si>
  <si>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</si>
  <si>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</si>
  <si>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</si>
  <si>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</si>
  <si>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</si>
  <si>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</si>
  <si>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</si>
  <si>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</si>
  <si>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</si>
  <si>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</si>
  <si>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</si>
  <si>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</si>
  <si>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</si>
  <si>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</si>
  <si>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</si>
  <si>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</si>
  <si>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</si>
  <si>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</si>
  <si>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</si>
  <si>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</si>
  <si>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</si>
  <si>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</si>
  <si>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</si>
  <si>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</si>
  <si>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</si>
  <si>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</si>
  <si>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</si>
  <si>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</si>
  <si>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</si>
  <si>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</si>
  <si>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</si>
  <si>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</si>
  <si>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</si>
  <si>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</si>
  <si>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</si>
  <si>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</si>
  <si>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</si>
  <si>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</si>
  <si>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</si>
  <si>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</si>
  <si>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</si>
  <si>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</si>
  <si>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</si>
  <si>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</si>
  <si>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</si>
  <si>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</si>
  <si>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</si>
  <si>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</si>
  <si>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</si>
  <si>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</si>
  <si>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</si>
  <si>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</si>
  <si>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</si>
  <si>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</si>
  <si>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</si>
  <si>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</si>
  <si>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</si>
  <si>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</si>
  <si>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</si>
  <si>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</si>
  <si>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</si>
  <si>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</si>
  <si>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</si>
  <si>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</si>
  <si>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</si>
  <si>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</si>
  <si>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</si>
  <si>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</si>
  <si>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</si>
  <si>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</si>
  <si>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</si>
  <si>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</si>
  <si>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</si>
  <si>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</si>
  <si>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</si>
  <si>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</si>
  <si>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</si>
  <si>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</si>
  <si>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</si>
  <si>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</si>
  <si>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</si>
  <si>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</si>
  <si>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</si>
  <si>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</si>
  <si>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</si>
  <si>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</si>
  <si>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</si>
  <si>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</si>
  <si>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</si>
  <si>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</si>
  <si>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</si>
  <si>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</si>
  <si>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</si>
  <si>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</si>
  <si>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</si>
  <si>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</si>
  <si>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</si>
  <si>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</si>
  <si>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</si>
  <si>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</si>
  <si>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</si>
  <si>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</si>
  <si>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</si>
  <si>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</si>
  <si>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</si>
  <si>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</si>
  <si>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</si>
  <si>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</si>
  <si>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</si>
  <si>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</si>
  <si>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</si>
  <si>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</si>
  <si>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</si>
  <si>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</si>
  <si>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</si>
  <si>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</si>
  <si>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</si>
  <si>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</si>
  <si>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</si>
  <si>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</si>
  <si>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</si>
  <si>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</si>
  <si>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</si>
  <si>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</si>
  <si>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</si>
  <si>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</si>
  <si>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</si>
  <si>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</si>
  <si>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</si>
  <si>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</si>
  <si>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</si>
  <si>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</si>
  <si>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</si>
  <si>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</si>
  <si>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</si>
  <si>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</si>
  <si>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</si>
  <si>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</si>
  <si>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</si>
  <si>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</si>
  <si>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</si>
  <si>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</si>
  <si>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</si>
  <si>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</si>
  <si>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</si>
  <si>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</si>
  <si>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</si>
  <si>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</si>
  <si>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</si>
  <si>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</si>
  <si>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</si>
  <si>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</si>
  <si>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</si>
  <si>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</si>
  <si>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</si>
  <si>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</si>
  <si>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</si>
  <si>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</si>
  <si>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</si>
  <si>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</si>
  <si>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</si>
  <si>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</si>
  <si>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</si>
  <si>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</si>
  <si>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</si>
  <si>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</si>
  <si>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</si>
  <si>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</si>
  <si>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</si>
  <si>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</si>
  <si>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</si>
  <si>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</si>
  <si>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</si>
  <si>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</si>
  <si>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</si>
  <si>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</si>
  <si>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</si>
  <si>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</si>
  <si>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</si>
  <si>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</si>
  <si>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</si>
  <si>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</si>
  <si>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</si>
  <si>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</si>
  <si>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</si>
  <si>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</si>
  <si>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</si>
  <si>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</si>
  <si>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</si>
  <si>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</si>
  <si>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</si>
  <si>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</si>
  <si>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</si>
  <si>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</si>
  <si>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</si>
  <si>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</si>
  <si>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</si>
  <si>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</si>
  <si>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</si>
  <si>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</si>
  <si>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</si>
  <si>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</si>
  <si>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</si>
  <si>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</si>
  <si>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</si>
  <si>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</si>
  <si>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</si>
  <si>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</si>
  <si>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</si>
  <si>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</si>
  <si>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</si>
  <si>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</si>
  <si>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</si>
  <si>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</si>
  <si>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</si>
  <si>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</si>
  <si>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</si>
  <si>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</si>
  <si>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</si>
  <si>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</si>
  <si>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</si>
  <si>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</si>
  <si>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</si>
  <si>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</si>
  <si>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</si>
  <si>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</si>
  <si>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</si>
  <si>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</si>
  <si>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</si>
  <si>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</si>
  <si>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</si>
  <si>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</si>
  <si>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</si>
  <si>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</si>
  <si>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</si>
  <si>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</si>
  <si>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</si>
  <si>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</si>
  <si>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</si>
  <si>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</si>
  <si>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</si>
  <si>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</si>
  <si>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</si>
  <si>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</si>
  <si>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</si>
  <si>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</si>
  <si>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</si>
  <si>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</si>
  <si>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</si>
  <si>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</si>
  <si>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</si>
  <si>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</si>
  <si>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</si>
  <si>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</si>
  <si>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</si>
  <si>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</si>
  <si>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</si>
  <si>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</si>
  <si>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</si>
  <si>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</si>
  <si>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</si>
  <si>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</si>
  <si>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</si>
  <si>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</si>
  <si>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</si>
  <si>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</si>
  <si>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</si>
  <si>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</si>
  <si>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</si>
  <si>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</si>
  <si>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</si>
  <si>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</si>
  <si>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</si>
  <si>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</si>
  <si>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</si>
  <si>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</si>
  <si>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</si>
  <si>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</si>
  <si>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</si>
  <si>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</si>
  <si>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</si>
  <si>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</si>
  <si>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</si>
  <si>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</si>
  <si>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</si>
  <si>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</si>
  <si>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</si>
  <si>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</si>
  <si>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</si>
  <si>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</si>
  <si>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</si>
  <si>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</si>
  <si>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</si>
  <si>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</si>
  <si>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</si>
  <si>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</si>
  <si>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</si>
  <si>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</si>
  <si>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</si>
  <si>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</si>
  <si>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</si>
  <si>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</si>
  <si>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</si>
  <si>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</si>
  <si>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</si>
  <si>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</si>
  <si>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</si>
  <si>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</si>
  <si>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</si>
  <si>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субвенції</t>
  </si>
  <si>
    <t>1</t>
  </si>
  <si>
    <t>2</t>
  </si>
  <si>
    <t>Придбання обладнання і предметів для проведення корекційних занять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</si>
  <si>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</si>
  <si>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</si>
  <si>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</si>
  <si>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</si>
  <si>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</si>
  <si>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</si>
  <si>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</si>
  <si>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</si>
  <si>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</si>
  <si>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</si>
  <si>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</si>
  <si>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"Обдарована дитина" на 2021-2025 роки.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</si>
  <si>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</si>
  <si>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</si>
  <si>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</si>
  <si>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Програма  "Обдарована дитина" на 2021-2025 роки.</t>
  </si>
  <si>
    <t>0217330</t>
  </si>
  <si>
    <t>7330</t>
  </si>
  <si>
    <t>0443</t>
  </si>
  <si>
    <t>Будівництво інших об'єктів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</si>
  <si>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</si>
  <si>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</si>
  <si>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</si>
  <si>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</si>
  <si>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</si>
  <si>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</si>
  <si>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</si>
  <si>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</si>
  <si>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</si>
  <si>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</si>
  <si>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</si>
  <si>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</si>
  <si>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</si>
  <si>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</si>
  <si>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</si>
  <si>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</si>
  <si>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</si>
  <si>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</si>
  <si>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</si>
  <si>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</si>
  <si>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</si>
  <si>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</si>
  <si>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</si>
  <si>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</si>
  <si>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</si>
  <si>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</si>
  <si>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</si>
  <si>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</si>
  <si>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</si>
  <si>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</si>
  <si>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</si>
  <si>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</si>
  <si>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</si>
  <si>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</si>
  <si>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</si>
  <si>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</si>
  <si>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</si>
  <si>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</si>
  <si>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</si>
  <si>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</si>
  <si>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</si>
  <si>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</si>
  <si>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</si>
  <si>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</si>
  <si>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</si>
  <si>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</si>
  <si>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</si>
  <si>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</si>
  <si>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</si>
  <si>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</si>
  <si>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</si>
  <si>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</si>
  <si>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</si>
  <si>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</si>
  <si>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</si>
  <si>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</si>
  <si>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</si>
  <si>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</si>
  <si>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</si>
  <si>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</si>
  <si>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</si>
  <si>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</si>
  <si>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</si>
  <si>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</si>
  <si>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</si>
  <si>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</si>
  <si>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</si>
  <si>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</si>
  <si>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</si>
  <si>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</si>
  <si>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</si>
  <si>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</si>
  <si>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</si>
  <si>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</si>
  <si>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</si>
  <si>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</si>
  <si>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</si>
  <si>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</si>
  <si>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</si>
  <si>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</si>
  <si>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</si>
  <si>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</si>
  <si>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</si>
  <si>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</si>
  <si>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</si>
  <si>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</si>
  <si>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</si>
  <si>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</si>
  <si>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</si>
  <si>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</si>
  <si>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за об'єктами на 2021 рік</t>
  </si>
  <si>
    <t>Забезпечення ЦНАП обладнанням для видачі паспортних документів, посвідчення водія та реєстрації транспортних засобів</t>
  </si>
  <si>
    <t>2021-2021</t>
  </si>
  <si>
    <t>Придбання сміттєвих баків</t>
  </si>
  <si>
    <t>Придбання сміттєвоза</t>
  </si>
  <si>
    <t>Будівництво кладовища м. Тетіїв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</si>
  <si>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“Комунальне некомерційне підприємство Тетіївська центральна районна лікарня” Тетіївської районної ради по вул. Цвіткова, 26 в м. Тетіїв Київської області (залишок субвенції 2020 року)</t>
  </si>
  <si>
    <t>2020-2021</t>
  </si>
  <si>
    <t>Реконструкція 1-го поверху лікувального корпусу №2 під відділення екстреної медичної допомоги КП "КНП Тетіївська ЦРЛ" в м. Тетієві Київської області" (кабінет КТ) та Реконструкція 1-го поверху лікувального корпусу №2 під відділення екстреної медичної допомоги КП "КНП Тетіївська ЦРЛ" в м. Тетієві Київської області" (в'їзд в приймальне відділення) (за рахунок іншої субвенції з обласного бюджету - 2082140 грн, власні кошти - 1451000 грн)</t>
  </si>
  <si>
    <t>Ремонт дороги по вул. Заводська</t>
  </si>
  <si>
    <t>Проведення експертної грошової оцінки земельних ділянок</t>
  </si>
  <si>
    <t>Придбання витяжної шафи та електроплити для харчоблоку ліцею с. Денихівка</t>
  </si>
  <si>
    <t>Співфінансування до обласного бюджету на "Капітальний ремонт Комунального закладу «Тетіївський освітній центр - опорний заклад загальної середньої освіти І-ІІІ ступенів №3 Тетіївської Міської Ради» з впровадженням енергозберігаючих технологій із заміною дерев'яних віконних та дверних блоків на металопластикові; утеплення зовнішніх стін фасаду, та їх оздоблення, утеплення перекриття, улаштування відмостки по вул. Академіка Байраківського, 59 в м. Тетіїв Київської області"</t>
  </si>
  <si>
    <t>0617363</t>
  </si>
  <si>
    <t>Програма фінансової підтримки Комунального підприємства "Комунального некомерційного підприємства Тетіївська центральна районна лікарня" на 2021 рік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</si>
  <si>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</si>
  <si>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</si>
  <si>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</si>
  <si>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</si>
  <si>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</si>
  <si>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</si>
  <si>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</si>
  <si>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</si>
  <si>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</si>
  <si>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</si>
  <si>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</si>
  <si>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</si>
  <si>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</si>
  <si>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по забезпеченню культурного розвитку Тетіївської територіальної громади на 2019 - 2022 роки.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</si>
  <si>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</si>
  <si>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</si>
  <si>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</si>
  <si>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</si>
  <si>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</si>
  <si>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</si>
  <si>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</si>
  <si>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</si>
  <si>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Капітальний ремонт дороги по вул. Злагода (інша субвенція з обласного бюджету З.Ф)</t>
  </si>
  <si>
    <t>Придбання лапароскопічної стійки для Комунального некомерційного підприємства” Тетіївська центральна лікарня” Тетіївської міської ради Білоцерківського району Київської області (м. Тетіїв, вул. Цвіткова, 26) (розпорядження КМУ від 19.05.2021 № 468-р)</t>
  </si>
  <si>
    <t>Придбання меблів для Закладу дошкільної освіти “Горобинонька” Тетіївської міської ради Білоцерківського району Київської області (с. П’ятигори, вул. Паркова, 2а) - 46823 грн; Придбання та монтаж обладнання дитячого ігрового майданчика для комунального закладу “Заклад дошкільної освіти ясла-садок “Калинка” Тетіївської міської ради Білоцерківського району Київської області (м. Тетіїв, вул. Коцюбинського, 7) - 136000 грн  (розпорядження КМУ від 19.05.2021 № 468-р)</t>
  </si>
  <si>
    <t>0611061</t>
  </si>
  <si>
    <t>1061</t>
  </si>
  <si>
    <t>Надання загальної середньої освіти закладами загальної середньої освіти ( залишок ос)</t>
  </si>
  <si>
    <t>Придбання та монтаж обладнання дитячого ігрового майданчика для Тетіївської міської ради Білоцерківського району Київської області (с. Теліжинці, вул. Перемоги, 26)(розпорядження КМУ від 21.07.2021 № 822-р)</t>
  </si>
  <si>
    <t>Придбання сміттєвозу для Комунального підприємства «Благоустрій» Тетіївської міської ради Білоцерківського району Київської області (м. Тетіїв, вул. Шевченка, 9 (розпорядження КМУ від 21.07.2021 № 822-р)</t>
  </si>
  <si>
    <t>Придбання багатофункціонального пристрою для Комунального закладу “Заклад дошкільної освіти (ясла-садок) “Сонечко” Тетіївської міської ради Білоцерківського району Київської області (м.  Тетіїв, вул. Соборна, 44) на суму 7000 грн;  придбання меблів для харчоблоку для Комунального закладу “Заклад дошкільної освіти (ясла-садок) “Сонечко” Тетіївської міської ради Білоцерківського району Київської області (м. Тетіїв, вул. Соборна, 44) на суму 24615 грн;  придбання та монтаж обладнання дитячого ігрового майданчика для Комунального закладу “Закладу дошкільної освіти (ясла-садок) “Веселка” Тетіївської міської ради Білоцерківського району Київської області (м.  Тетіїв пров. Добровольського, 1) на суму 30000 грн;  придбання інтерактивних мультимедійних комплексів для П’ятигірського ліцею Тетіївської міської ради Білоцерківського району Київської області (с. П’ятигори, вул. Київська, 40) на суму 110000 грн (розпорядження КМУ від 21.07.2021 № 822-р)</t>
  </si>
  <si>
    <t>Закупівля комп’ютерного обладнання для початкових класів нової української школи</t>
  </si>
  <si>
    <t>Закупівля комп’ютерного обладнання для початкових класів нової української школи (10% співфінансування НУШ)</t>
  </si>
  <si>
    <t>Придбання обладнання довгострокового користування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</si>
  <si>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</si>
  <si>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</si>
  <si>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</si>
  <si>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</si>
  <si>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</si>
  <si>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</si>
  <si>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</si>
  <si>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</si>
  <si>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</si>
  <si>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</si>
  <si>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Співфінансування до обласного бюджету на придбання телемедичного обладнання для амбулаторій загальної практики - сімейнї медицини</t>
  </si>
  <si>
    <t>2021-2022</t>
  </si>
  <si>
    <t>Капітальний ремонт інших об"єктів (пожежна сигналізація)</t>
  </si>
  <si>
    <t>(в редакції проекту сесії міської ради від 28.09.2021 № -10-VІІ)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</si>
</sst>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_г_р_н_._-;\-* #,##0\ _г_р_н_._-;_-* &quot;-&quot;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6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3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>
      <alignment vertical="top"/>
      <protection/>
    </xf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1" fontId="7" fillId="33" borderId="11" xfId="49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80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4" fillId="34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3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 vertical="center"/>
    </xf>
    <xf numFmtId="0" fontId="22" fillId="35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9" fillId="36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vertical="center" shrinkToFit="1"/>
    </xf>
    <xf numFmtId="49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left" vertical="center" wrapText="1"/>
    </xf>
    <xf numFmtId="4" fontId="5" fillId="36" borderId="11" xfId="0" applyNumberFormat="1" applyFont="1" applyFill="1" applyBorder="1" applyAlignment="1">
      <alignment vertical="center" shrinkToFit="1"/>
    </xf>
    <xf numFmtId="4" fontId="7" fillId="37" borderId="11" xfId="0" applyNumberFormat="1" applyFont="1" applyFill="1" applyBorder="1" applyAlignment="1">
      <alignment vertical="center" shrinkToFit="1"/>
    </xf>
    <xf numFmtId="4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center" vertical="center"/>
    </xf>
    <xf numFmtId="4" fontId="7" fillId="38" borderId="11" xfId="0" applyNumberFormat="1" applyFont="1" applyFill="1" applyBorder="1" applyAlignment="1">
      <alignment vertical="center" shrinkToFit="1"/>
    </xf>
    <xf numFmtId="4" fontId="7" fillId="34" borderId="11" xfId="0" applyNumberFormat="1" applyFont="1" applyFill="1" applyBorder="1" applyAlignment="1">
      <alignment vertical="center" shrinkToFit="1"/>
    </xf>
    <xf numFmtId="4" fontId="5" fillId="34" borderId="11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9" borderId="11" xfId="0" applyNumberFormat="1" applyFont="1" applyFill="1" applyBorder="1" applyAlignment="1">
      <alignment vertical="center" shrinkToFit="1"/>
    </xf>
    <xf numFmtId="4" fontId="5" fillId="38" borderId="11" xfId="0" applyNumberFormat="1" applyFont="1" applyFill="1" applyBorder="1" applyAlignment="1">
      <alignment vertical="center" shrinkToFit="1"/>
    </xf>
    <xf numFmtId="49" fontId="8" fillId="39" borderId="11" xfId="0" applyNumberFormat="1" applyFont="1" applyFill="1" applyBorder="1" applyAlignment="1">
      <alignment horizontal="center" vertical="center"/>
    </xf>
    <xf numFmtId="4" fontId="5" fillId="39" borderId="11" xfId="0" applyNumberFormat="1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1" fontId="24" fillId="0" borderId="0" xfId="0" applyNumberFormat="1" applyFont="1" applyAlignment="1">
      <alignment/>
    </xf>
    <xf numFmtId="180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39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39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6" fillId="39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39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9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4" fontId="6" fillId="39" borderId="11" xfId="0" applyNumberFormat="1" applyFont="1" applyFill="1" applyBorder="1" applyAlignment="1">
      <alignment vertical="center" wrapTex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0" fontId="22" fillId="7" borderId="0" xfId="0" applyFont="1" applyFill="1" applyAlignment="1">
      <alignment vertical="center"/>
    </xf>
    <xf numFmtId="0" fontId="33" fillId="7" borderId="11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1" xfId="0" applyFont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80" fontId="16" fillId="0" borderId="11" xfId="0" applyNumberFormat="1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180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180" fontId="16" fillId="0" borderId="11" xfId="0" applyNumberFormat="1" applyFont="1" applyBorder="1" applyAlignment="1">
      <alignment horizontal="center"/>
    </xf>
    <xf numFmtId="0" fontId="16" fillId="34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49" fontId="16" fillId="34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5" fillId="0" borderId="16" xfId="0" applyFont="1" applyBorder="1" applyAlignment="1" applyProtection="1">
      <alignment horizontal="left" wrapText="1"/>
      <protection/>
    </xf>
    <xf numFmtId="4" fontId="16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vertical="center"/>
    </xf>
    <xf numFmtId="49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180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right" wrapText="1"/>
    </xf>
    <xf numFmtId="4" fontId="16" fillId="10" borderId="11" xfId="0" applyNumberFormat="1" applyFont="1" applyFill="1" applyBorder="1" applyAlignment="1">
      <alignment horizontal="right" wrapText="1"/>
    </xf>
    <xf numFmtId="1" fontId="16" fillId="10" borderId="11" xfId="0" applyNumberFormat="1" applyFont="1" applyFill="1" applyBorder="1" applyAlignment="1">
      <alignment horizontal="right" wrapText="1"/>
    </xf>
    <xf numFmtId="49" fontId="16" fillId="10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180" fontId="16" fillId="7" borderId="11" xfId="0" applyNumberFormat="1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right" wrapText="1"/>
    </xf>
    <xf numFmtId="4" fontId="16" fillId="7" borderId="11" xfId="0" applyNumberFormat="1" applyFont="1" applyFill="1" applyBorder="1" applyAlignment="1">
      <alignment horizontal="right" wrapText="1"/>
    </xf>
    <xf numFmtId="1" fontId="16" fillId="7" borderId="11" xfId="0" applyNumberFormat="1" applyFont="1" applyFill="1" applyBorder="1" applyAlignment="1">
      <alignment horizontal="right" wrapText="1"/>
    </xf>
    <xf numFmtId="0" fontId="16" fillId="7" borderId="11" xfId="0" applyFont="1" applyFill="1" applyBorder="1" applyAlignment="1">
      <alignment horizontal="left" wrapText="1"/>
    </xf>
    <xf numFmtId="49" fontId="17" fillId="10" borderId="11" xfId="0" applyNumberFormat="1" applyFont="1" applyFill="1" applyBorder="1" applyAlignment="1">
      <alignment horizontal="center" wrapText="1"/>
    </xf>
    <xf numFmtId="0" fontId="17" fillId="10" borderId="11" xfId="0" applyFont="1" applyFill="1" applyBorder="1" applyAlignment="1">
      <alignment horizontal="right" wrapText="1"/>
    </xf>
    <xf numFmtId="4" fontId="17" fillId="10" borderId="11" xfId="0" applyNumberFormat="1" applyFont="1" applyFill="1" applyBorder="1" applyAlignment="1">
      <alignment horizontal="right" wrapText="1"/>
    </xf>
    <xf numFmtId="1" fontId="17" fillId="10" borderId="11" xfId="0" applyNumberFormat="1" applyFont="1" applyFill="1" applyBorder="1" applyAlignment="1">
      <alignment horizontal="right" wrapText="1"/>
    </xf>
    <xf numFmtId="4" fontId="17" fillId="34" borderId="11" xfId="0" applyNumberFormat="1" applyFont="1" applyFill="1" applyBorder="1" applyAlignment="1">
      <alignment horizontal="right" wrapText="1"/>
    </xf>
    <xf numFmtId="4" fontId="16" fillId="34" borderId="11" xfId="0" applyNumberFormat="1" applyFont="1" applyFill="1" applyBorder="1" applyAlignment="1">
      <alignment horizontal="right" wrapText="1"/>
    </xf>
    <xf numFmtId="1" fontId="17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1" fontId="16" fillId="34" borderId="11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/>
    </xf>
    <xf numFmtId="49" fontId="5" fillId="10" borderId="11" xfId="0" applyNumberFormat="1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righ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4" fontId="5" fillId="10" borderId="13" xfId="0" applyNumberFormat="1" applyFont="1" applyFill="1" applyBorder="1" applyAlignment="1">
      <alignment horizontal="right" vertical="center" shrinkToFit="1"/>
    </xf>
    <xf numFmtId="4" fontId="5" fillId="7" borderId="13" xfId="0" applyNumberFormat="1" applyFont="1" applyFill="1" applyBorder="1" applyAlignment="1">
      <alignment horizontal="right" vertical="center" shrinkToFit="1"/>
    </xf>
    <xf numFmtId="4" fontId="12" fillId="0" borderId="13" xfId="0" applyNumberFormat="1" applyFont="1" applyFill="1" applyBorder="1" applyAlignment="1">
      <alignment horizontal="right" vertical="center" shrinkToFit="1"/>
    </xf>
    <xf numFmtId="4" fontId="12" fillId="0" borderId="11" xfId="0" applyNumberFormat="1" applyFont="1" applyBorder="1" applyAlignment="1">
      <alignment horizontal="right" vertical="center" shrinkToFit="1"/>
    </xf>
    <xf numFmtId="4" fontId="12" fillId="0" borderId="11" xfId="0" applyNumberFormat="1" applyFont="1" applyFill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4" fontId="12" fillId="0" borderId="13" xfId="0" applyNumberFormat="1" applyFont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7" borderId="13" xfId="0" applyFont="1" applyFill="1" applyBorder="1" applyAlignment="1">
      <alignment vertical="center" wrapText="1"/>
    </xf>
    <xf numFmtId="4" fontId="5" fillId="7" borderId="13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34" borderId="14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vertical="center" wrapText="1"/>
    </xf>
    <xf numFmtId="4" fontId="12" fillId="34" borderId="13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/>
    </xf>
    <xf numFmtId="4" fontId="5" fillId="0" borderId="0" xfId="0" applyNumberFormat="1" applyFont="1" applyBorder="1" applyAlignment="1">
      <alignment horizontal="right" vertical="center" shrinkToFit="1"/>
    </xf>
    <xf numFmtId="4" fontId="5" fillId="0" borderId="11" xfId="0" applyNumberFormat="1" applyFont="1" applyBorder="1" applyAlignment="1">
      <alignment horizontal="right" vertical="center" shrinkToFit="1"/>
    </xf>
    <xf numFmtId="0" fontId="5" fillId="34" borderId="13" xfId="0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4" fontId="7" fillId="34" borderId="13" xfId="0" applyNumberFormat="1" applyFont="1" applyFill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right" vertical="center" shrinkToFit="1"/>
    </xf>
    <xf numFmtId="0" fontId="5" fillId="34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49" fontId="5" fillId="1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181" fontId="5" fillId="33" borderId="11" xfId="4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181" fontId="5" fillId="7" borderId="10" xfId="49" applyNumberFormat="1" applyFont="1" applyFill="1" applyBorder="1" applyAlignment="1">
      <alignment horizontal="left" vertical="center" wrapText="1"/>
      <protection/>
    </xf>
    <xf numFmtId="49" fontId="36" fillId="0" borderId="11" xfId="0" applyNumberFormat="1" applyFont="1" applyBorder="1" applyAlignment="1">
      <alignment horizontal="center" vertical="center"/>
    </xf>
    <xf numFmtId="4" fontId="5" fillId="10" borderId="13" xfId="0" applyNumberFormat="1" applyFont="1" applyFill="1" applyBorder="1" applyAlignment="1">
      <alignment horizontal="right" vertical="center" shrinkToFit="1"/>
    </xf>
    <xf numFmtId="4" fontId="5" fillId="34" borderId="13" xfId="0" applyNumberFormat="1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right" vertical="center"/>
    </xf>
    <xf numFmtId="0" fontId="8" fillId="7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4" fontId="6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" fontId="21" fillId="0" borderId="12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zoomScalePageLayoutView="0" workbookViewId="0" topLeftCell="A100">
      <selection activeCell="D106" sqref="D106"/>
    </sheetView>
  </sheetViews>
  <sheetFormatPr defaultColWidth="9.00390625" defaultRowHeight="12.75"/>
  <cols>
    <col min="1" max="1" width="14.375" style="73" customWidth="1"/>
    <col min="2" max="2" width="58.125" style="122" customWidth="1"/>
    <col min="3" max="3" width="18.75390625" style="122" customWidth="1"/>
    <col min="4" max="4" width="17.125" style="16" customWidth="1"/>
    <col min="5" max="5" width="16.125" style="16" customWidth="1"/>
    <col min="6" max="6" width="16.00390625" style="16" customWidth="1"/>
    <col min="7" max="7" width="9.125" style="16" bestFit="1" customWidth="1"/>
    <col min="8" max="16384" width="9.125" style="16" customWidth="1"/>
  </cols>
  <sheetData>
    <row r="1" spans="2:6" ht="15">
      <c r="B1" s="16"/>
      <c r="C1" s="16"/>
      <c r="D1" s="369" t="s">
        <v>0</v>
      </c>
      <c r="E1" s="369"/>
      <c r="F1" s="369"/>
    </row>
    <row r="2" spans="2:6" ht="15">
      <c r="B2" s="16"/>
      <c r="C2" s="16"/>
      <c r="D2" s="369" t="s">
        <v>357</v>
      </c>
      <c r="E2" s="369"/>
      <c r="F2" s="369"/>
    </row>
    <row r="3" spans="2:6" ht="27" customHeight="1">
      <c r="B3" s="16"/>
      <c r="C3" s="98"/>
      <c r="D3" s="370" t="s">
        <v>358</v>
      </c>
      <c r="E3" s="370"/>
      <c r="F3" s="370"/>
    </row>
    <row r="4" spans="2:6" ht="15">
      <c r="B4" s="16"/>
      <c r="C4" s="371" t="s">
        <v>509</v>
      </c>
      <c r="D4" s="374"/>
      <c r="E4" s="374"/>
      <c r="F4" s="374"/>
    </row>
    <row r="5" spans="2:6" ht="15">
      <c r="B5" s="16"/>
      <c r="C5" s="371"/>
      <c r="D5" s="371"/>
      <c r="E5" s="371"/>
      <c r="F5" s="371"/>
    </row>
    <row r="6" ht="12.75">
      <c r="F6" s="122"/>
    </row>
    <row r="7" spans="1:6" ht="18.75">
      <c r="A7" s="372" t="s">
        <v>1</v>
      </c>
      <c r="B7" s="373"/>
      <c r="C7" s="373"/>
      <c r="D7" s="373"/>
      <c r="E7" s="373"/>
      <c r="F7" s="373"/>
    </row>
    <row r="8" spans="1:6" ht="17.25" customHeight="1">
      <c r="A8" s="101">
        <v>10508000000</v>
      </c>
      <c r="B8" s="14"/>
      <c r="C8" s="14"/>
      <c r="D8" s="14"/>
      <c r="E8" s="14"/>
      <c r="F8" s="14"/>
    </row>
    <row r="9" spans="1:6" ht="17.25" customHeight="1">
      <c r="A9" s="73" t="s">
        <v>2</v>
      </c>
      <c r="B9" s="97"/>
      <c r="C9" s="14"/>
      <c r="D9" s="14"/>
      <c r="E9" s="14"/>
      <c r="F9" s="14"/>
    </row>
    <row r="10" ht="21" customHeight="1">
      <c r="F10" s="56" t="s">
        <v>3</v>
      </c>
    </row>
    <row r="11" spans="1:11" s="2" customFormat="1" ht="12.75" customHeight="1">
      <c r="A11" s="375" t="s">
        <v>4</v>
      </c>
      <c r="B11" s="375" t="s">
        <v>5</v>
      </c>
      <c r="C11" s="380" t="s">
        <v>6</v>
      </c>
      <c r="D11" s="375" t="s">
        <v>7</v>
      </c>
      <c r="E11" s="375" t="s">
        <v>8</v>
      </c>
      <c r="F11" s="375"/>
      <c r="G11" s="172"/>
      <c r="H11" s="172"/>
      <c r="I11" s="172"/>
      <c r="J11" s="172"/>
      <c r="K11" s="172"/>
    </row>
    <row r="12" spans="1:11" s="2" customFormat="1" ht="12.75" customHeight="1">
      <c r="A12" s="375"/>
      <c r="B12" s="375"/>
      <c r="C12" s="380"/>
      <c r="D12" s="375"/>
      <c r="E12" s="375" t="s">
        <v>9</v>
      </c>
      <c r="F12" s="375" t="s">
        <v>10</v>
      </c>
      <c r="G12" s="172"/>
      <c r="H12" s="172"/>
      <c r="I12" s="172"/>
      <c r="J12" s="172"/>
      <c r="K12" s="172"/>
    </row>
    <row r="13" spans="1:11" s="2" customFormat="1" ht="15">
      <c r="A13" s="375"/>
      <c r="B13" s="375"/>
      <c r="C13" s="380"/>
      <c r="D13" s="375"/>
      <c r="E13" s="375"/>
      <c r="F13" s="375"/>
      <c r="G13" s="172"/>
      <c r="H13" s="172"/>
      <c r="I13" s="172"/>
      <c r="J13" s="172"/>
      <c r="K13" s="172"/>
    </row>
    <row r="14" spans="1:11" s="171" customFormat="1" ht="14.25">
      <c r="A14" s="173">
        <v>1</v>
      </c>
      <c r="B14" s="173">
        <v>2</v>
      </c>
      <c r="C14" s="174">
        <v>3</v>
      </c>
      <c r="D14" s="173">
        <v>4</v>
      </c>
      <c r="E14" s="173">
        <v>5</v>
      </c>
      <c r="F14" s="173">
        <v>6</v>
      </c>
      <c r="G14" s="175"/>
      <c r="H14" s="175"/>
      <c r="I14" s="175"/>
      <c r="J14" s="175"/>
      <c r="K14" s="175"/>
    </row>
    <row r="15" spans="1:6" ht="15.75">
      <c r="A15" s="106">
        <v>10000000</v>
      </c>
      <c r="B15" s="165" t="s">
        <v>11</v>
      </c>
      <c r="C15" s="176">
        <f aca="true" t="shared" si="0" ref="C15:C26">SUM(D15:E15)</f>
        <v>151059980.32</v>
      </c>
      <c r="D15" s="107">
        <f>D16+D24+D30+D36+D53</f>
        <v>150966780.32</v>
      </c>
      <c r="E15" s="107">
        <f>E16+E24+E30+E36+E53</f>
        <v>93200</v>
      </c>
      <c r="F15" s="107">
        <f>F16+F24+F30+F36+F53</f>
        <v>0</v>
      </c>
    </row>
    <row r="16" spans="1:6" ht="31.5">
      <c r="A16" s="106">
        <v>11000000</v>
      </c>
      <c r="B16" s="165" t="s">
        <v>12</v>
      </c>
      <c r="C16" s="176">
        <f t="shared" si="0"/>
        <v>93769037.94999999</v>
      </c>
      <c r="D16" s="107">
        <f>D17+D22</f>
        <v>93769037.94999999</v>
      </c>
      <c r="E16" s="107">
        <f>E17+E22</f>
        <v>0</v>
      </c>
      <c r="F16" s="107">
        <f>F17+F22</f>
        <v>0</v>
      </c>
    </row>
    <row r="17" spans="1:6" ht="15.75">
      <c r="A17" s="106">
        <v>11010000</v>
      </c>
      <c r="B17" s="165" t="s">
        <v>13</v>
      </c>
      <c r="C17" s="176">
        <f t="shared" si="0"/>
        <v>93761836.49</v>
      </c>
      <c r="D17" s="107">
        <f>SUM(D18:D21)</f>
        <v>93761836.49</v>
      </c>
      <c r="E17" s="107">
        <f>SUM(E18:E21)</f>
        <v>0</v>
      </c>
      <c r="F17" s="107">
        <f>SUM(F18:F21)</f>
        <v>0</v>
      </c>
    </row>
    <row r="18" spans="1:6" ht="47.25">
      <c r="A18" s="177">
        <v>11010100</v>
      </c>
      <c r="B18" s="167" t="s">
        <v>14</v>
      </c>
      <c r="C18" s="178">
        <f t="shared" si="0"/>
        <v>75002665.49</v>
      </c>
      <c r="D18" s="109">
        <f>64272900+7440490.49+3289275</f>
        <v>75002665.49</v>
      </c>
      <c r="E18" s="109"/>
      <c r="F18" s="109"/>
    </row>
    <row r="19" spans="1:6" ht="78" customHeight="1">
      <c r="A19" s="177">
        <v>11010200</v>
      </c>
      <c r="B19" s="167" t="s">
        <v>15</v>
      </c>
      <c r="C19" s="178">
        <f t="shared" si="0"/>
        <v>2043500</v>
      </c>
      <c r="D19" s="109">
        <v>2043500</v>
      </c>
      <c r="E19" s="109"/>
      <c r="F19" s="109"/>
    </row>
    <row r="20" spans="1:6" ht="47.25">
      <c r="A20" s="177">
        <v>11010400</v>
      </c>
      <c r="B20" s="167" t="s">
        <v>16</v>
      </c>
      <c r="C20" s="178">
        <f t="shared" si="0"/>
        <v>15726071</v>
      </c>
      <c r="D20" s="109">
        <f>13967600+1758471</f>
        <v>15726071</v>
      </c>
      <c r="E20" s="109"/>
      <c r="F20" s="109"/>
    </row>
    <row r="21" spans="1:6" ht="40.5" customHeight="1">
      <c r="A21" s="177">
        <v>11010500</v>
      </c>
      <c r="B21" s="167" t="s">
        <v>17</v>
      </c>
      <c r="C21" s="178">
        <f t="shared" si="0"/>
        <v>989600</v>
      </c>
      <c r="D21" s="109">
        <v>989600</v>
      </c>
      <c r="E21" s="109"/>
      <c r="F21" s="109"/>
    </row>
    <row r="22" spans="1:6" ht="26.25" customHeight="1">
      <c r="A22" s="106">
        <v>11020000</v>
      </c>
      <c r="B22" s="165" t="s">
        <v>374</v>
      </c>
      <c r="C22" s="194">
        <f t="shared" si="0"/>
        <v>7201.46</v>
      </c>
      <c r="D22" s="107">
        <f>SUM(D23)</f>
        <v>7201.46</v>
      </c>
      <c r="E22" s="107">
        <f>SUM(E23)</f>
        <v>0</v>
      </c>
      <c r="F22" s="107">
        <f>SUM(F23)</f>
        <v>0</v>
      </c>
    </row>
    <row r="23" spans="1:6" ht="40.5" customHeight="1">
      <c r="A23" s="177">
        <v>11020200</v>
      </c>
      <c r="B23" s="167" t="s">
        <v>375</v>
      </c>
      <c r="C23" s="178">
        <f t="shared" si="0"/>
        <v>7201.46</v>
      </c>
      <c r="D23" s="109">
        <f>7201.46</f>
        <v>7201.46</v>
      </c>
      <c r="E23" s="109"/>
      <c r="F23" s="109"/>
    </row>
    <row r="24" spans="1:6" s="119" customFormat="1" ht="31.5">
      <c r="A24" s="106">
        <v>13000000</v>
      </c>
      <c r="B24" s="165" t="s">
        <v>18</v>
      </c>
      <c r="C24" s="176">
        <f t="shared" si="0"/>
        <v>213073.01</v>
      </c>
      <c r="D24" s="107">
        <f>D25+D28</f>
        <v>213073.01</v>
      </c>
      <c r="E24" s="107">
        <f>E25+E28</f>
        <v>0</v>
      </c>
      <c r="F24" s="107">
        <f>F25+F28</f>
        <v>0</v>
      </c>
    </row>
    <row r="25" spans="1:6" s="119" customFormat="1" ht="31.5">
      <c r="A25" s="106">
        <v>13010000</v>
      </c>
      <c r="B25" s="165" t="s">
        <v>19</v>
      </c>
      <c r="C25" s="176">
        <f t="shared" si="0"/>
        <v>201273.01</v>
      </c>
      <c r="D25" s="107">
        <f>SUM(D26:D27)</f>
        <v>201273.01</v>
      </c>
      <c r="E25" s="107">
        <f>SUM(E26:E27)</f>
        <v>0</v>
      </c>
      <c r="F25" s="107">
        <f>SUM(F26:F27)</f>
        <v>0</v>
      </c>
    </row>
    <row r="26" spans="1:6" ht="51" customHeight="1">
      <c r="A26" s="177">
        <v>13010100</v>
      </c>
      <c r="B26" s="167" t="s">
        <v>20</v>
      </c>
      <c r="C26" s="178">
        <f t="shared" si="0"/>
        <v>117600</v>
      </c>
      <c r="D26" s="109">
        <v>117600</v>
      </c>
      <c r="E26" s="109"/>
      <c r="F26" s="109"/>
    </row>
    <row r="27" spans="1:6" s="119" customFormat="1" ht="63">
      <c r="A27" s="177">
        <v>13010200</v>
      </c>
      <c r="B27" s="167" t="s">
        <v>21</v>
      </c>
      <c r="C27" s="178">
        <f aca="true" t="shared" si="1" ref="C27:C61">SUM(D27:E27)</f>
        <v>83673.01000000001</v>
      </c>
      <c r="D27" s="109">
        <f>32300+43540.01+7833</f>
        <v>83673.01000000001</v>
      </c>
      <c r="E27" s="109"/>
      <c r="F27" s="109"/>
    </row>
    <row r="28" spans="1:6" s="119" customFormat="1" ht="15.75">
      <c r="A28" s="106">
        <v>13030000</v>
      </c>
      <c r="B28" s="165" t="s">
        <v>22</v>
      </c>
      <c r="C28" s="176">
        <f t="shared" si="1"/>
        <v>11800</v>
      </c>
      <c r="D28" s="107">
        <f>SUM(D29)</f>
        <v>11800</v>
      </c>
      <c r="E28" s="107">
        <f>SUM(E29)</f>
        <v>0</v>
      </c>
      <c r="F28" s="107">
        <f>SUM(F29)</f>
        <v>0</v>
      </c>
    </row>
    <row r="29" spans="1:6" s="119" customFormat="1" ht="31.5">
      <c r="A29" s="177">
        <v>13030100</v>
      </c>
      <c r="B29" s="167" t="s">
        <v>23</v>
      </c>
      <c r="C29" s="178">
        <f t="shared" si="1"/>
        <v>11800</v>
      </c>
      <c r="D29" s="109">
        <v>11800</v>
      </c>
      <c r="E29" s="109"/>
      <c r="F29" s="109"/>
    </row>
    <row r="30" spans="1:6" s="119" customFormat="1" ht="15.75">
      <c r="A30" s="106">
        <v>14000000</v>
      </c>
      <c r="B30" s="165" t="s">
        <v>24</v>
      </c>
      <c r="C30" s="176">
        <f t="shared" si="1"/>
        <v>6657965.15</v>
      </c>
      <c r="D30" s="107">
        <f>D31+D33+D35</f>
        <v>6657965.15</v>
      </c>
      <c r="E30" s="107">
        <f>E31+E33+E35</f>
        <v>0</v>
      </c>
      <c r="F30" s="107">
        <f>F31+F33+F35</f>
        <v>0</v>
      </c>
    </row>
    <row r="31" spans="1:6" s="119" customFormat="1" ht="31.5">
      <c r="A31" s="106">
        <v>14020000</v>
      </c>
      <c r="B31" s="165" t="s">
        <v>25</v>
      </c>
      <c r="C31" s="176">
        <f t="shared" si="1"/>
        <v>1100058.76</v>
      </c>
      <c r="D31" s="107">
        <f>SUM(D32)</f>
        <v>1100058.76</v>
      </c>
      <c r="E31" s="107">
        <f>SUM(E32)</f>
        <v>0</v>
      </c>
      <c r="F31" s="107">
        <f>SUM(F32)</f>
        <v>0</v>
      </c>
    </row>
    <row r="32" spans="1:6" s="119" customFormat="1" ht="15.75">
      <c r="A32" s="177">
        <v>14021900</v>
      </c>
      <c r="B32" s="167" t="s">
        <v>26</v>
      </c>
      <c r="C32" s="178">
        <f t="shared" si="1"/>
        <v>1100058.76</v>
      </c>
      <c r="D32" s="109">
        <f>1014200+85858.76</f>
        <v>1100058.76</v>
      </c>
      <c r="E32" s="109"/>
      <c r="F32" s="109"/>
    </row>
    <row r="33" spans="1:6" s="119" customFormat="1" ht="31.5">
      <c r="A33" s="106">
        <v>14030000</v>
      </c>
      <c r="B33" s="165" t="s">
        <v>27</v>
      </c>
      <c r="C33" s="176">
        <f t="shared" si="1"/>
        <v>3854133.56</v>
      </c>
      <c r="D33" s="107">
        <f>SUM(D34)</f>
        <v>3854133.56</v>
      </c>
      <c r="E33" s="107">
        <f>SUM(E34)</f>
        <v>0</v>
      </c>
      <c r="F33" s="107">
        <f>SUM(F34)</f>
        <v>0</v>
      </c>
    </row>
    <row r="34" spans="1:6" s="119" customFormat="1" ht="15.75">
      <c r="A34" s="177">
        <v>14031900</v>
      </c>
      <c r="B34" s="167" t="s">
        <v>26</v>
      </c>
      <c r="C34" s="178">
        <f t="shared" si="1"/>
        <v>3854133.56</v>
      </c>
      <c r="D34" s="109">
        <f>3587800+266333.56</f>
        <v>3854133.56</v>
      </c>
      <c r="E34" s="109"/>
      <c r="F34" s="109"/>
    </row>
    <row r="35" spans="1:6" s="119" customFormat="1" ht="47.25">
      <c r="A35" s="106">
        <v>14040000</v>
      </c>
      <c r="B35" s="165" t="s">
        <v>28</v>
      </c>
      <c r="C35" s="176">
        <f t="shared" si="1"/>
        <v>1703772.83</v>
      </c>
      <c r="D35" s="107">
        <f>1667200+36572.83</f>
        <v>1703772.83</v>
      </c>
      <c r="E35" s="107"/>
      <c r="F35" s="107"/>
    </row>
    <row r="36" spans="1:6" s="119" customFormat="1" ht="15.75">
      <c r="A36" s="106">
        <v>18000000</v>
      </c>
      <c r="B36" s="165" t="s">
        <v>29</v>
      </c>
      <c r="C36" s="176">
        <f t="shared" si="1"/>
        <v>50326704.21</v>
      </c>
      <c r="D36" s="107">
        <f>D37+D47+D49</f>
        <v>50326704.21</v>
      </c>
      <c r="E36" s="107">
        <f>SUM(E37)</f>
        <v>0</v>
      </c>
      <c r="F36" s="107">
        <f>SUM(F37)</f>
        <v>0</v>
      </c>
    </row>
    <row r="37" spans="1:6" s="119" customFormat="1" ht="15.75">
      <c r="A37" s="106">
        <v>18010000</v>
      </c>
      <c r="B37" s="165" t="s">
        <v>30</v>
      </c>
      <c r="C37" s="176">
        <f t="shared" si="1"/>
        <v>15966404.21</v>
      </c>
      <c r="D37" s="107">
        <f>SUM(D38:D46)</f>
        <v>15966404.21</v>
      </c>
      <c r="E37" s="107">
        <f>SUM(E38:E46)</f>
        <v>0</v>
      </c>
      <c r="F37" s="107">
        <f>SUM(F38:F46)</f>
        <v>0</v>
      </c>
    </row>
    <row r="38" spans="1:6" s="119" customFormat="1" ht="47.25">
      <c r="A38" s="177">
        <v>18010100</v>
      </c>
      <c r="B38" s="167" t="s">
        <v>31</v>
      </c>
      <c r="C38" s="178">
        <f t="shared" si="1"/>
        <v>27900</v>
      </c>
      <c r="D38" s="109">
        <v>27900</v>
      </c>
      <c r="E38" s="109"/>
      <c r="F38" s="109"/>
    </row>
    <row r="39" spans="1:6" s="119" customFormat="1" ht="47.25">
      <c r="A39" s="177">
        <v>18010200</v>
      </c>
      <c r="B39" s="167" t="s">
        <v>32</v>
      </c>
      <c r="C39" s="178">
        <f t="shared" si="1"/>
        <v>209000</v>
      </c>
      <c r="D39" s="109">
        <v>209000</v>
      </c>
      <c r="E39" s="109"/>
      <c r="F39" s="109"/>
    </row>
    <row r="40" spans="1:6" s="119" customFormat="1" ht="47.25">
      <c r="A40" s="177">
        <v>18010300</v>
      </c>
      <c r="B40" s="167" t="s">
        <v>33</v>
      </c>
      <c r="C40" s="178">
        <f t="shared" si="1"/>
        <v>450400</v>
      </c>
      <c r="D40" s="109">
        <v>450400</v>
      </c>
      <c r="E40" s="109"/>
      <c r="F40" s="109"/>
    </row>
    <row r="41" spans="1:6" s="119" customFormat="1" ht="47.25">
      <c r="A41" s="177">
        <v>18010400</v>
      </c>
      <c r="B41" s="167" t="s">
        <v>34</v>
      </c>
      <c r="C41" s="178">
        <f t="shared" si="1"/>
        <v>876900</v>
      </c>
      <c r="D41" s="109">
        <v>876900</v>
      </c>
      <c r="E41" s="109"/>
      <c r="F41" s="109"/>
    </row>
    <row r="42" spans="1:6" s="119" customFormat="1" ht="15.75">
      <c r="A42" s="177">
        <v>18010500</v>
      </c>
      <c r="B42" s="167" t="s">
        <v>35</v>
      </c>
      <c r="C42" s="178">
        <f t="shared" si="1"/>
        <v>2268100</v>
      </c>
      <c r="D42" s="109">
        <v>2268100</v>
      </c>
      <c r="E42" s="109"/>
      <c r="F42" s="109"/>
    </row>
    <row r="43" spans="1:6" s="119" customFormat="1" ht="15.75">
      <c r="A43" s="177">
        <v>18010600</v>
      </c>
      <c r="B43" s="167" t="s">
        <v>36</v>
      </c>
      <c r="C43" s="178">
        <f t="shared" si="1"/>
        <v>6309704.21</v>
      </c>
      <c r="D43" s="109">
        <f>5980500+329204.21</f>
        <v>6309704.21</v>
      </c>
      <c r="E43" s="109"/>
      <c r="F43" s="109"/>
    </row>
    <row r="44" spans="1:6" s="119" customFormat="1" ht="15.75">
      <c r="A44" s="177">
        <v>18010700</v>
      </c>
      <c r="B44" s="167" t="s">
        <v>37</v>
      </c>
      <c r="C44" s="178">
        <f t="shared" si="1"/>
        <v>2424600</v>
      </c>
      <c r="D44" s="109">
        <v>2424600</v>
      </c>
      <c r="E44" s="109"/>
      <c r="F44" s="109"/>
    </row>
    <row r="45" spans="1:6" s="119" customFormat="1" ht="15.75">
      <c r="A45" s="177">
        <v>18010900</v>
      </c>
      <c r="B45" s="167" t="s">
        <v>38</v>
      </c>
      <c r="C45" s="178">
        <f t="shared" si="1"/>
        <v>3258100</v>
      </c>
      <c r="D45" s="109">
        <v>3258100</v>
      </c>
      <c r="E45" s="109"/>
      <c r="F45" s="109"/>
    </row>
    <row r="46" spans="1:6" s="119" customFormat="1" ht="15.75">
      <c r="A46" s="177">
        <v>18011100</v>
      </c>
      <c r="B46" s="167" t="s">
        <v>39</v>
      </c>
      <c r="C46" s="178">
        <f t="shared" si="1"/>
        <v>141700</v>
      </c>
      <c r="D46" s="109">
        <v>141700</v>
      </c>
      <c r="E46" s="109"/>
      <c r="F46" s="109"/>
    </row>
    <row r="47" spans="1:6" s="119" customFormat="1" ht="15.75">
      <c r="A47" s="106">
        <v>18030000</v>
      </c>
      <c r="B47" s="165" t="s">
        <v>40</v>
      </c>
      <c r="C47" s="176">
        <f t="shared" si="1"/>
        <v>1500</v>
      </c>
      <c r="D47" s="107">
        <f>SUM(D48)</f>
        <v>1500</v>
      </c>
      <c r="E47" s="107">
        <f>SUM(E48)</f>
        <v>0</v>
      </c>
      <c r="F47" s="107">
        <f>SUM(F48)</f>
        <v>0</v>
      </c>
    </row>
    <row r="48" spans="1:6" s="119" customFormat="1" ht="15.75">
      <c r="A48" s="177">
        <v>18030200</v>
      </c>
      <c r="B48" s="167" t="s">
        <v>41</v>
      </c>
      <c r="C48" s="178">
        <f t="shared" si="1"/>
        <v>1500</v>
      </c>
      <c r="D48" s="109">
        <v>1500</v>
      </c>
      <c r="E48" s="109"/>
      <c r="F48" s="109"/>
    </row>
    <row r="49" spans="1:6" s="119" customFormat="1" ht="15.75">
      <c r="A49" s="106">
        <v>18050000</v>
      </c>
      <c r="B49" s="165" t="s">
        <v>42</v>
      </c>
      <c r="C49" s="176">
        <f t="shared" si="1"/>
        <v>34358800</v>
      </c>
      <c r="D49" s="107">
        <f>SUM(D50:D52)</f>
        <v>34358800</v>
      </c>
      <c r="E49" s="107">
        <f>SUM(E50:E52)</f>
        <v>0</v>
      </c>
      <c r="F49" s="107">
        <f>SUM(F50:F52)</f>
        <v>0</v>
      </c>
    </row>
    <row r="50" spans="1:6" s="119" customFormat="1" ht="15.75">
      <c r="A50" s="177">
        <v>18050300</v>
      </c>
      <c r="B50" s="167" t="s">
        <v>43</v>
      </c>
      <c r="C50" s="178">
        <f t="shared" si="1"/>
        <v>1856100</v>
      </c>
      <c r="D50" s="109">
        <v>1856100</v>
      </c>
      <c r="E50" s="109"/>
      <c r="F50" s="109"/>
    </row>
    <row r="51" spans="1:6" s="119" customFormat="1" ht="15.75">
      <c r="A51" s="177">
        <v>18050400</v>
      </c>
      <c r="B51" s="167" t="s">
        <v>44</v>
      </c>
      <c r="C51" s="178">
        <f t="shared" si="1"/>
        <v>18050400</v>
      </c>
      <c r="D51" s="109">
        <v>18050400</v>
      </c>
      <c r="E51" s="109"/>
      <c r="F51" s="109"/>
    </row>
    <row r="52" spans="1:6" s="119" customFormat="1" ht="63">
      <c r="A52" s="177">
        <v>18050500</v>
      </c>
      <c r="B52" s="167" t="s">
        <v>45</v>
      </c>
      <c r="C52" s="178">
        <f t="shared" si="1"/>
        <v>14452300</v>
      </c>
      <c r="D52" s="109">
        <v>14452300</v>
      </c>
      <c r="E52" s="109"/>
      <c r="F52" s="109"/>
    </row>
    <row r="53" spans="1:6" s="119" customFormat="1" ht="15.75">
      <c r="A53" s="106">
        <v>19000000</v>
      </c>
      <c r="B53" s="165" t="s">
        <v>46</v>
      </c>
      <c r="C53" s="176">
        <f t="shared" si="1"/>
        <v>93200</v>
      </c>
      <c r="D53" s="107">
        <f>D54</f>
        <v>0</v>
      </c>
      <c r="E53" s="107">
        <f>E54</f>
        <v>93200</v>
      </c>
      <c r="F53" s="107">
        <f>F54</f>
        <v>0</v>
      </c>
    </row>
    <row r="54" spans="1:6" s="119" customFormat="1" ht="15.75">
      <c r="A54" s="106">
        <v>19010000</v>
      </c>
      <c r="B54" s="165" t="s">
        <v>47</v>
      </c>
      <c r="C54" s="176">
        <f t="shared" si="1"/>
        <v>93200</v>
      </c>
      <c r="D54" s="107">
        <f>SUM(D55:D56)</f>
        <v>0</v>
      </c>
      <c r="E54" s="107">
        <f>SUM(E55:E56)</f>
        <v>93200</v>
      </c>
      <c r="F54" s="107">
        <f>SUM(F55:F56)</f>
        <v>0</v>
      </c>
    </row>
    <row r="55" spans="1:6" s="119" customFormat="1" ht="63">
      <c r="A55" s="177">
        <v>19010100</v>
      </c>
      <c r="B55" s="167" t="s">
        <v>48</v>
      </c>
      <c r="C55" s="178">
        <f t="shared" si="1"/>
        <v>65600</v>
      </c>
      <c r="D55" s="109"/>
      <c r="E55" s="109">
        <v>65600</v>
      </c>
      <c r="F55" s="109"/>
    </row>
    <row r="56" spans="1:6" ht="51" customHeight="1">
      <c r="A56" s="177">
        <v>19010300</v>
      </c>
      <c r="B56" s="167" t="s">
        <v>49</v>
      </c>
      <c r="C56" s="178">
        <f t="shared" si="1"/>
        <v>27600</v>
      </c>
      <c r="D56" s="109"/>
      <c r="E56" s="109">
        <v>27600</v>
      </c>
      <c r="F56" s="109"/>
    </row>
    <row r="57" spans="1:6" ht="15.75">
      <c r="A57" s="106">
        <v>20000000</v>
      </c>
      <c r="B57" s="165" t="s">
        <v>50</v>
      </c>
      <c r="C57" s="176">
        <f t="shared" si="1"/>
        <v>2305509.6799999997</v>
      </c>
      <c r="D57" s="107">
        <f>D58+D62+D71+D74</f>
        <v>1733709.68</v>
      </c>
      <c r="E57" s="107">
        <f>E58+E62+E71+E74</f>
        <v>571800</v>
      </c>
      <c r="F57" s="107">
        <f>F58+F62+F71+F74</f>
        <v>0</v>
      </c>
    </row>
    <row r="58" spans="1:6" ht="15.75">
      <c r="A58" s="106">
        <v>21000000</v>
      </c>
      <c r="B58" s="165" t="s">
        <v>51</v>
      </c>
      <c r="C58" s="176">
        <f t="shared" si="1"/>
        <v>93900</v>
      </c>
      <c r="D58" s="107">
        <f>D59</f>
        <v>93900</v>
      </c>
      <c r="E58" s="107">
        <f>E59</f>
        <v>0</v>
      </c>
      <c r="F58" s="107">
        <f>F59</f>
        <v>0</v>
      </c>
    </row>
    <row r="59" spans="1:6" ht="15.75">
      <c r="A59" s="106">
        <v>21080000</v>
      </c>
      <c r="B59" s="165" t="s">
        <v>52</v>
      </c>
      <c r="C59" s="176">
        <f t="shared" si="1"/>
        <v>93900</v>
      </c>
      <c r="D59" s="107">
        <f>SUM(D60:D61)</f>
        <v>93900</v>
      </c>
      <c r="E59" s="107">
        <f>SUM(E60:E61)</f>
        <v>0</v>
      </c>
      <c r="F59" s="107">
        <f>SUM(F60:F61)</f>
        <v>0</v>
      </c>
    </row>
    <row r="60" spans="1:6" ht="15.75">
      <c r="A60" s="177">
        <v>21081100</v>
      </c>
      <c r="B60" s="167" t="s">
        <v>53</v>
      </c>
      <c r="C60" s="178">
        <f t="shared" si="1"/>
        <v>33500</v>
      </c>
      <c r="D60" s="109">
        <v>33500</v>
      </c>
      <c r="E60" s="109"/>
      <c r="F60" s="109"/>
    </row>
    <row r="61" spans="1:6" ht="47.25">
      <c r="A61" s="177">
        <v>21081500</v>
      </c>
      <c r="B61" s="167" t="s">
        <v>54</v>
      </c>
      <c r="C61" s="178">
        <f t="shared" si="1"/>
        <v>60400</v>
      </c>
      <c r="D61" s="109">
        <v>60400</v>
      </c>
      <c r="E61" s="109"/>
      <c r="F61" s="109"/>
    </row>
    <row r="62" spans="1:6" ht="31.5">
      <c r="A62" s="106">
        <v>22000000</v>
      </c>
      <c r="B62" s="165" t="s">
        <v>55</v>
      </c>
      <c r="C62" s="176">
        <f aca="true" t="shared" si="2" ref="C62:C84">SUM(D62:E62)</f>
        <v>1584709.68</v>
      </c>
      <c r="D62" s="107">
        <f>D63+D67+D70</f>
        <v>1584709.68</v>
      </c>
      <c r="E62" s="107">
        <f>E63+E67+E70</f>
        <v>0</v>
      </c>
      <c r="F62" s="107">
        <f>F63+F67+F70</f>
        <v>0</v>
      </c>
    </row>
    <row r="63" spans="1:6" ht="15.75">
      <c r="A63" s="106">
        <v>22010000</v>
      </c>
      <c r="B63" s="165" t="s">
        <v>56</v>
      </c>
      <c r="C63" s="176">
        <f t="shared" si="2"/>
        <v>1304609.68</v>
      </c>
      <c r="D63" s="107">
        <f>SUM(D64:D66)</f>
        <v>1304609.68</v>
      </c>
      <c r="E63" s="107">
        <f>SUM(E64:E66)</f>
        <v>0</v>
      </c>
      <c r="F63" s="107">
        <f>SUM(F64:F66)</f>
        <v>0</v>
      </c>
    </row>
    <row r="64" spans="1:6" ht="47.25">
      <c r="A64" s="177">
        <v>22010300</v>
      </c>
      <c r="B64" s="167" t="s">
        <v>57</v>
      </c>
      <c r="C64" s="178">
        <f t="shared" si="2"/>
        <v>73300</v>
      </c>
      <c r="D64" s="109">
        <v>73300</v>
      </c>
      <c r="E64" s="109"/>
      <c r="F64" s="109"/>
    </row>
    <row r="65" spans="1:6" ht="15.75">
      <c r="A65" s="177">
        <v>22021500</v>
      </c>
      <c r="B65" s="167" t="s">
        <v>58</v>
      </c>
      <c r="C65" s="178">
        <f t="shared" si="2"/>
        <v>572409.6799999999</v>
      </c>
      <c r="D65" s="109">
        <f>504200+68209.68</f>
        <v>572409.6799999999</v>
      </c>
      <c r="E65" s="109"/>
      <c r="F65" s="109"/>
    </row>
    <row r="66" spans="1:6" ht="33" customHeight="1">
      <c r="A66" s="177">
        <v>22012600</v>
      </c>
      <c r="B66" s="167" t="s">
        <v>59</v>
      </c>
      <c r="C66" s="178">
        <f t="shared" si="2"/>
        <v>658900</v>
      </c>
      <c r="D66" s="109">
        <v>658900</v>
      </c>
      <c r="E66" s="109"/>
      <c r="F66" s="109"/>
    </row>
    <row r="67" spans="1:6" ht="15.75">
      <c r="A67" s="106">
        <v>22090000</v>
      </c>
      <c r="B67" s="165" t="s">
        <v>60</v>
      </c>
      <c r="C67" s="176">
        <f t="shared" si="2"/>
        <v>272300</v>
      </c>
      <c r="D67" s="107">
        <f>SUM(D68:D69)</f>
        <v>272300</v>
      </c>
      <c r="E67" s="107">
        <f>SUM(E68:E69)</f>
        <v>0</v>
      </c>
      <c r="F67" s="107">
        <f>SUM(F68:F69)</f>
        <v>0</v>
      </c>
    </row>
    <row r="68" spans="1:6" ht="47.25">
      <c r="A68" s="177">
        <v>22090100</v>
      </c>
      <c r="B68" s="167" t="s">
        <v>61</v>
      </c>
      <c r="C68" s="178">
        <f t="shared" si="2"/>
        <v>251500</v>
      </c>
      <c r="D68" s="109">
        <v>251500</v>
      </c>
      <c r="E68" s="109"/>
      <c r="F68" s="109"/>
    </row>
    <row r="69" spans="1:6" ht="47.25">
      <c r="A69" s="177">
        <v>22090400</v>
      </c>
      <c r="B69" s="167" t="s">
        <v>62</v>
      </c>
      <c r="C69" s="178">
        <f t="shared" si="2"/>
        <v>20800</v>
      </c>
      <c r="D69" s="109">
        <v>20800</v>
      </c>
      <c r="E69" s="109"/>
      <c r="F69" s="109"/>
    </row>
    <row r="70" spans="1:6" s="119" customFormat="1" ht="85.5" customHeight="1">
      <c r="A70" s="106">
        <v>22130000</v>
      </c>
      <c r="B70" s="165" t="s">
        <v>63</v>
      </c>
      <c r="C70" s="176">
        <f t="shared" si="2"/>
        <v>7800</v>
      </c>
      <c r="D70" s="107">
        <v>7800</v>
      </c>
      <c r="E70" s="107"/>
      <c r="F70" s="107"/>
    </row>
    <row r="71" spans="1:6" ht="15.75">
      <c r="A71" s="106">
        <v>24000000</v>
      </c>
      <c r="B71" s="165" t="s">
        <v>64</v>
      </c>
      <c r="C71" s="176">
        <f t="shared" si="2"/>
        <v>55100</v>
      </c>
      <c r="D71" s="107">
        <f>D72</f>
        <v>55100</v>
      </c>
      <c r="E71" s="107">
        <f>E72</f>
        <v>0</v>
      </c>
      <c r="F71" s="107">
        <f>F72</f>
        <v>0</v>
      </c>
    </row>
    <row r="72" spans="1:6" ht="15.75">
      <c r="A72" s="106">
        <v>24060000</v>
      </c>
      <c r="B72" s="165" t="s">
        <v>65</v>
      </c>
      <c r="C72" s="176">
        <f t="shared" si="2"/>
        <v>55100</v>
      </c>
      <c r="D72" s="107">
        <f>SUM(D73)</f>
        <v>55100</v>
      </c>
      <c r="E72" s="107">
        <f>SUM(E73)</f>
        <v>0</v>
      </c>
      <c r="F72" s="107">
        <f>SUM(F73)</f>
        <v>0</v>
      </c>
    </row>
    <row r="73" spans="1:6" ht="15.75">
      <c r="A73" s="177">
        <v>24060300</v>
      </c>
      <c r="B73" s="167" t="s">
        <v>65</v>
      </c>
      <c r="C73" s="178">
        <f t="shared" si="2"/>
        <v>55100</v>
      </c>
      <c r="D73" s="109">
        <v>55100</v>
      </c>
      <c r="E73" s="109"/>
      <c r="F73" s="109"/>
    </row>
    <row r="74" spans="1:6" ht="15.75">
      <c r="A74" s="106">
        <v>25000000</v>
      </c>
      <c r="B74" s="165" t="s">
        <v>66</v>
      </c>
      <c r="C74" s="176">
        <f t="shared" si="2"/>
        <v>571800</v>
      </c>
      <c r="D74" s="107">
        <f>D75</f>
        <v>0</v>
      </c>
      <c r="E74" s="107">
        <f>E75</f>
        <v>571800</v>
      </c>
      <c r="F74" s="107">
        <f>F75</f>
        <v>0</v>
      </c>
    </row>
    <row r="75" spans="1:6" ht="31.5">
      <c r="A75" s="106">
        <v>25010000</v>
      </c>
      <c r="B75" s="165" t="s">
        <v>67</v>
      </c>
      <c r="C75" s="176">
        <f t="shared" si="2"/>
        <v>571800</v>
      </c>
      <c r="D75" s="107">
        <f>SUM(D76:D77)</f>
        <v>0</v>
      </c>
      <c r="E75" s="107">
        <f>SUM(E76:E77)</f>
        <v>571800</v>
      </c>
      <c r="F75" s="107">
        <f>SUM(F76:F77)</f>
        <v>0</v>
      </c>
    </row>
    <row r="76" spans="1:6" ht="31.5">
      <c r="A76" s="177">
        <v>25010100</v>
      </c>
      <c r="B76" s="167" t="s">
        <v>68</v>
      </c>
      <c r="C76" s="178">
        <f t="shared" si="2"/>
        <v>521800</v>
      </c>
      <c r="D76" s="109"/>
      <c r="E76" s="109">
        <v>521800</v>
      </c>
      <c r="F76" s="109"/>
    </row>
    <row r="77" spans="1:6" ht="43.5" customHeight="1">
      <c r="A77" s="110">
        <v>25010300</v>
      </c>
      <c r="B77" s="179" t="s">
        <v>69</v>
      </c>
      <c r="C77" s="178">
        <f t="shared" si="2"/>
        <v>50000</v>
      </c>
      <c r="D77" s="109"/>
      <c r="E77" s="109">
        <v>50000</v>
      </c>
      <c r="F77" s="109"/>
    </row>
    <row r="78" spans="1:6" ht="15.75">
      <c r="A78" s="106">
        <v>30000000</v>
      </c>
      <c r="B78" s="165" t="s">
        <v>70</v>
      </c>
      <c r="C78" s="176">
        <f t="shared" si="2"/>
        <v>202330</v>
      </c>
      <c r="D78" s="107">
        <f>D79+D82</f>
        <v>1000</v>
      </c>
      <c r="E78" s="107">
        <f>E79+E82</f>
        <v>201330</v>
      </c>
      <c r="F78" s="107">
        <f>F79+F82</f>
        <v>201330</v>
      </c>
    </row>
    <row r="79" spans="1:6" ht="15.75">
      <c r="A79" s="106">
        <v>31000000</v>
      </c>
      <c r="B79" s="165" t="s">
        <v>71</v>
      </c>
      <c r="C79" s="176">
        <f t="shared" si="2"/>
        <v>1000</v>
      </c>
      <c r="D79" s="107">
        <f aca="true" t="shared" si="3" ref="D79:F80">D80</f>
        <v>1000</v>
      </c>
      <c r="E79" s="107">
        <f t="shared" si="3"/>
        <v>0</v>
      </c>
      <c r="F79" s="107">
        <f t="shared" si="3"/>
        <v>0</v>
      </c>
    </row>
    <row r="80" spans="1:6" ht="78.75">
      <c r="A80" s="106">
        <v>31010000</v>
      </c>
      <c r="B80" s="165" t="s">
        <v>72</v>
      </c>
      <c r="C80" s="176">
        <f t="shared" si="2"/>
        <v>1000</v>
      </c>
      <c r="D80" s="107">
        <f t="shared" si="3"/>
        <v>1000</v>
      </c>
      <c r="E80" s="107">
        <f t="shared" si="3"/>
        <v>0</v>
      </c>
      <c r="F80" s="107">
        <f t="shared" si="3"/>
        <v>0</v>
      </c>
    </row>
    <row r="81" spans="1:6" ht="63">
      <c r="A81" s="177">
        <v>31010200</v>
      </c>
      <c r="B81" s="167" t="s">
        <v>73</v>
      </c>
      <c r="C81" s="178">
        <f t="shared" si="2"/>
        <v>1000</v>
      </c>
      <c r="D81" s="109">
        <v>1000</v>
      </c>
      <c r="E81" s="109"/>
      <c r="F81" s="109"/>
    </row>
    <row r="82" spans="1:6" s="119" customFormat="1" ht="15.75">
      <c r="A82" s="180">
        <v>33000000</v>
      </c>
      <c r="B82" s="181" t="s">
        <v>74</v>
      </c>
      <c r="C82" s="176">
        <f t="shared" si="2"/>
        <v>201330</v>
      </c>
      <c r="D82" s="107">
        <f>D83</f>
        <v>0</v>
      </c>
      <c r="E82" s="107">
        <f>E83</f>
        <v>201330</v>
      </c>
      <c r="F82" s="107">
        <f>F83</f>
        <v>201330</v>
      </c>
    </row>
    <row r="83" spans="1:6" s="119" customFormat="1" ht="15.75">
      <c r="A83" s="180">
        <v>33010000</v>
      </c>
      <c r="B83" s="181" t="s">
        <v>75</v>
      </c>
      <c r="C83" s="176">
        <f t="shared" si="2"/>
        <v>201330</v>
      </c>
      <c r="D83" s="107">
        <f>SUM(D84:D85)</f>
        <v>0</v>
      </c>
      <c r="E83" s="107">
        <f>SUM(E84:E85)</f>
        <v>201330</v>
      </c>
      <c r="F83" s="107">
        <f>SUM(F84:F85)</f>
        <v>201330</v>
      </c>
    </row>
    <row r="84" spans="1:6" ht="78.75">
      <c r="A84" s="110">
        <v>33010100</v>
      </c>
      <c r="B84" s="179" t="s">
        <v>376</v>
      </c>
      <c r="C84" s="178">
        <f t="shared" si="2"/>
        <v>51330</v>
      </c>
      <c r="D84" s="109"/>
      <c r="E84" s="109">
        <f>51330</f>
        <v>51330</v>
      </c>
      <c r="F84" s="109">
        <f>51330</f>
        <v>51330</v>
      </c>
    </row>
    <row r="85" spans="1:6" ht="57.75" customHeight="1">
      <c r="A85" s="110">
        <v>33010400</v>
      </c>
      <c r="B85" s="179" t="s">
        <v>377</v>
      </c>
      <c r="C85" s="178">
        <f>SUM(D85:E85)</f>
        <v>150000</v>
      </c>
      <c r="D85" s="109"/>
      <c r="E85" s="109">
        <f>150000</f>
        <v>150000</v>
      </c>
      <c r="F85" s="109">
        <f>150000</f>
        <v>150000</v>
      </c>
    </row>
    <row r="86" spans="1:6" ht="15.75">
      <c r="A86" s="180">
        <v>50000000</v>
      </c>
      <c r="B86" s="181" t="s">
        <v>378</v>
      </c>
      <c r="C86" s="176">
        <f>SUM(D86:E86)</f>
        <v>281436.8</v>
      </c>
      <c r="D86" s="107">
        <f>D87</f>
        <v>0</v>
      </c>
      <c r="E86" s="107">
        <f>E87</f>
        <v>281436.8</v>
      </c>
      <c r="F86" s="107">
        <f>F87</f>
        <v>0</v>
      </c>
    </row>
    <row r="87" spans="1:6" ht="47.25">
      <c r="A87" s="110">
        <v>50110000</v>
      </c>
      <c r="B87" s="179" t="s">
        <v>379</v>
      </c>
      <c r="C87" s="178">
        <f>SUM(D87:E87)</f>
        <v>281436.8</v>
      </c>
      <c r="D87" s="109"/>
      <c r="E87" s="109">
        <f>248350+33086.8</f>
        <v>281436.8</v>
      </c>
      <c r="F87" s="109"/>
    </row>
    <row r="88" spans="1:6" ht="22.5" customHeight="1">
      <c r="A88" s="376" t="s">
        <v>76</v>
      </c>
      <c r="B88" s="377"/>
      <c r="C88" s="176">
        <f>C15+C57+C78+C86</f>
        <v>153849256.8</v>
      </c>
      <c r="D88" s="176">
        <f>D15+D57+D78+D86</f>
        <v>152701490</v>
      </c>
      <c r="E88" s="176">
        <f>E15+E57+E78+E86</f>
        <v>1147766.8</v>
      </c>
      <c r="F88" s="176">
        <f>F15+F57+F78+F86</f>
        <v>201330</v>
      </c>
    </row>
    <row r="89" spans="1:6" ht="18" customHeight="1">
      <c r="A89" s="106">
        <v>40000000</v>
      </c>
      <c r="B89" s="165" t="s">
        <v>77</v>
      </c>
      <c r="C89" s="176">
        <f aca="true" t="shared" si="4" ref="C89:C94">SUM(D89:E89)</f>
        <v>129569526</v>
      </c>
      <c r="D89" s="107">
        <f>D90</f>
        <v>127487386</v>
      </c>
      <c r="E89" s="107">
        <f>E90</f>
        <v>2082140</v>
      </c>
      <c r="F89" s="107">
        <f>F90</f>
        <v>2082140</v>
      </c>
    </row>
    <row r="90" spans="1:6" ht="18" customHeight="1">
      <c r="A90" s="106">
        <v>41000000</v>
      </c>
      <c r="B90" s="165" t="s">
        <v>78</v>
      </c>
      <c r="C90" s="176">
        <f t="shared" si="4"/>
        <v>129569526</v>
      </c>
      <c r="D90" s="107">
        <f>D91+D94+D102+D99</f>
        <v>127487386</v>
      </c>
      <c r="E90" s="107">
        <f>E91+E94+E102</f>
        <v>2082140</v>
      </c>
      <c r="F90" s="107">
        <f>F91+F94+F102</f>
        <v>2082140</v>
      </c>
    </row>
    <row r="91" spans="1:6" ht="27" customHeight="1">
      <c r="A91" s="106">
        <v>41020000</v>
      </c>
      <c r="B91" s="165" t="s">
        <v>79</v>
      </c>
      <c r="C91" s="176">
        <f t="shared" si="4"/>
        <v>9546100</v>
      </c>
      <c r="D91" s="107">
        <f>SUM(D92:D93)</f>
        <v>9546100</v>
      </c>
      <c r="E91" s="107">
        <f>SUM(E92:E93)</f>
        <v>0</v>
      </c>
      <c r="F91" s="107">
        <f>SUM(F92:F93)</f>
        <v>0</v>
      </c>
    </row>
    <row r="92" spans="1:6" ht="17.25" customHeight="1">
      <c r="A92" s="110">
        <v>41020100</v>
      </c>
      <c r="B92" s="167" t="s">
        <v>80</v>
      </c>
      <c r="C92" s="178">
        <f t="shared" si="4"/>
        <v>9546100</v>
      </c>
      <c r="D92" s="109">
        <v>9546100</v>
      </c>
      <c r="E92" s="109"/>
      <c r="F92" s="109"/>
    </row>
    <row r="93" spans="1:6" ht="15.75" hidden="1">
      <c r="A93" s="177">
        <v>41020900</v>
      </c>
      <c r="B93" s="167" t="s">
        <v>81</v>
      </c>
      <c r="C93" s="178">
        <f t="shared" si="4"/>
        <v>0</v>
      </c>
      <c r="D93" s="109"/>
      <c r="E93" s="109"/>
      <c r="F93" s="109"/>
    </row>
    <row r="94" spans="1:6" ht="23.25" customHeight="1">
      <c r="A94" s="106">
        <v>41030000</v>
      </c>
      <c r="B94" s="165" t="s">
        <v>82</v>
      </c>
      <c r="C94" s="176">
        <f t="shared" si="4"/>
        <v>101892235</v>
      </c>
      <c r="D94" s="182">
        <f>SUM(D95:D98)</f>
        <v>101892235</v>
      </c>
      <c r="E94" s="182">
        <f>SUM(E95:E98)</f>
        <v>0</v>
      </c>
      <c r="F94" s="182">
        <f>SUM(F95:F98)</f>
        <v>0</v>
      </c>
    </row>
    <row r="95" spans="1:6" ht="27" customHeight="1">
      <c r="A95" s="110">
        <v>41033900</v>
      </c>
      <c r="B95" s="167" t="s">
        <v>83</v>
      </c>
      <c r="C95" s="178">
        <f>D95</f>
        <v>98194200</v>
      </c>
      <c r="D95" s="168">
        <v>98194200</v>
      </c>
      <c r="E95" s="168"/>
      <c r="F95" s="168"/>
    </row>
    <row r="96" spans="1:6" ht="47.25">
      <c r="A96" s="110">
        <v>41034500</v>
      </c>
      <c r="B96" s="167" t="s">
        <v>84</v>
      </c>
      <c r="C96" s="178">
        <f>SUM(D96:E96)</f>
        <v>2854035</v>
      </c>
      <c r="D96" s="168">
        <f>946420+1907615</f>
        <v>2854035</v>
      </c>
      <c r="E96" s="168"/>
      <c r="F96" s="168"/>
    </row>
    <row r="97" spans="1:6" ht="47.25">
      <c r="A97" s="110">
        <v>41035200</v>
      </c>
      <c r="B97" s="167" t="s">
        <v>380</v>
      </c>
      <c r="C97" s="178">
        <f>SUM(D97:E97)</f>
        <v>594000</v>
      </c>
      <c r="D97" s="168">
        <f>594000</f>
        <v>594000</v>
      </c>
      <c r="E97" s="168"/>
      <c r="F97" s="168"/>
    </row>
    <row r="98" spans="1:6" ht="56.25" customHeight="1">
      <c r="A98" s="110">
        <v>41035500</v>
      </c>
      <c r="B98" s="167" t="s">
        <v>479</v>
      </c>
      <c r="C98" s="178">
        <f>SUM(D98:E98)</f>
        <v>250000</v>
      </c>
      <c r="D98" s="168">
        <v>250000</v>
      </c>
      <c r="E98" s="168"/>
      <c r="F98" s="168"/>
    </row>
    <row r="99" spans="1:6" ht="30" customHeight="1">
      <c r="A99" s="106">
        <v>41040000</v>
      </c>
      <c r="B99" s="165" t="s">
        <v>85</v>
      </c>
      <c r="C99" s="176">
        <f>SUM(C100:C101)</f>
        <v>3558400</v>
      </c>
      <c r="D99" s="183">
        <f>SUM(D100:D101)</f>
        <v>3558400</v>
      </c>
      <c r="E99" s="183">
        <f>SUM(E100:E101)</f>
        <v>0</v>
      </c>
      <c r="F99" s="183">
        <f>SUM(F100:F101)</f>
        <v>0</v>
      </c>
    </row>
    <row r="100" spans="1:6" ht="67.5" customHeight="1">
      <c r="A100" s="110">
        <v>41040200</v>
      </c>
      <c r="B100" s="167" t="s">
        <v>86</v>
      </c>
      <c r="C100" s="178">
        <f>D100</f>
        <v>3558400</v>
      </c>
      <c r="D100" s="168">
        <v>3558400</v>
      </c>
      <c r="E100" s="168"/>
      <c r="F100" s="168"/>
    </row>
    <row r="101" spans="1:6" ht="25.5" customHeight="1" hidden="1">
      <c r="A101" s="177">
        <v>41040400</v>
      </c>
      <c r="B101" s="184" t="s">
        <v>87</v>
      </c>
      <c r="C101" s="178">
        <f>SUM(D101:E101)</f>
        <v>0</v>
      </c>
      <c r="D101" s="168"/>
      <c r="E101" s="168"/>
      <c r="F101" s="168"/>
    </row>
    <row r="102" spans="1:6" ht="31.5" customHeight="1">
      <c r="A102" s="106">
        <v>41050000</v>
      </c>
      <c r="B102" s="165" t="s">
        <v>88</v>
      </c>
      <c r="C102" s="176">
        <f aca="true" t="shared" si="5" ref="C102:C113">SUM(D102:E102)</f>
        <v>14572791</v>
      </c>
      <c r="D102" s="182">
        <f>SUM(D103:D113)</f>
        <v>12490651</v>
      </c>
      <c r="E102" s="182">
        <f>SUM(E103:E113)</f>
        <v>2082140</v>
      </c>
      <c r="F102" s="182">
        <f>SUM(F103:F113)</f>
        <v>2082140</v>
      </c>
    </row>
    <row r="103" spans="1:6" ht="53.25" customHeight="1">
      <c r="A103" s="177">
        <v>41051000</v>
      </c>
      <c r="B103" s="167" t="s">
        <v>89</v>
      </c>
      <c r="C103" s="178">
        <f t="shared" si="5"/>
        <v>2998091</v>
      </c>
      <c r="D103" s="109">
        <v>2998091</v>
      </c>
      <c r="E103" s="109"/>
      <c r="F103" s="109"/>
    </row>
    <row r="104" spans="1:6" ht="51.75" customHeight="1" hidden="1">
      <c r="A104" s="177">
        <v>41051100</v>
      </c>
      <c r="B104" s="167" t="s">
        <v>90</v>
      </c>
      <c r="C104" s="178">
        <f t="shared" si="5"/>
        <v>0</v>
      </c>
      <c r="D104" s="109"/>
      <c r="E104" s="109"/>
      <c r="F104" s="109"/>
    </row>
    <row r="105" spans="1:6" ht="58.5" customHeight="1">
      <c r="A105" s="177">
        <v>41051200</v>
      </c>
      <c r="B105" s="167" t="s">
        <v>91</v>
      </c>
      <c r="C105" s="178">
        <f t="shared" si="5"/>
        <v>1101656</v>
      </c>
      <c r="D105" s="109">
        <v>1101656</v>
      </c>
      <c r="E105" s="109"/>
      <c r="F105" s="109"/>
    </row>
    <row r="106" spans="1:6" ht="65.25" customHeight="1">
      <c r="A106" s="177">
        <v>41051400</v>
      </c>
      <c r="B106" s="167" t="s">
        <v>92</v>
      </c>
      <c r="C106" s="178">
        <f t="shared" si="5"/>
        <v>1347698</v>
      </c>
      <c r="D106" s="109">
        <f>1002456+338187+7055</f>
        <v>1347698</v>
      </c>
      <c r="E106" s="109"/>
      <c r="F106" s="109"/>
    </row>
    <row r="107" spans="1:6" ht="51.75" customHeight="1" hidden="1">
      <c r="A107" s="177">
        <v>41051500</v>
      </c>
      <c r="B107" s="167" t="s">
        <v>93</v>
      </c>
      <c r="C107" s="178">
        <f t="shared" si="5"/>
        <v>0</v>
      </c>
      <c r="D107" s="109"/>
      <c r="E107" s="109"/>
      <c r="F107" s="109"/>
    </row>
    <row r="108" spans="1:6" ht="66" customHeight="1">
      <c r="A108" s="177">
        <v>41051700</v>
      </c>
      <c r="B108" s="167" t="s">
        <v>381</v>
      </c>
      <c r="C108" s="178">
        <f t="shared" si="5"/>
        <v>191106</v>
      </c>
      <c r="D108" s="109">
        <f>191106</f>
        <v>191106</v>
      </c>
      <c r="E108" s="109"/>
      <c r="F108" s="109"/>
    </row>
    <row r="109" spans="1:6" ht="22.5" customHeight="1">
      <c r="A109" s="110">
        <v>41053900</v>
      </c>
      <c r="B109" s="167" t="s">
        <v>94</v>
      </c>
      <c r="C109" s="178">
        <f t="shared" si="5"/>
        <v>7882140</v>
      </c>
      <c r="D109" s="109">
        <f>6595000-795000</f>
        <v>5800000</v>
      </c>
      <c r="E109" s="109">
        <f>2082140</f>
        <v>2082140</v>
      </c>
      <c r="F109" s="109">
        <f>2082140</f>
        <v>2082140</v>
      </c>
    </row>
    <row r="110" spans="1:6" ht="49.5" customHeight="1" hidden="1">
      <c r="A110" s="110">
        <v>41054300</v>
      </c>
      <c r="B110" s="167" t="s">
        <v>95</v>
      </c>
      <c r="C110" s="178">
        <f t="shared" si="5"/>
        <v>0</v>
      </c>
      <c r="D110" s="109"/>
      <c r="E110" s="109"/>
      <c r="F110" s="109"/>
    </row>
    <row r="111" spans="1:6" ht="48" customHeight="1">
      <c r="A111" s="110">
        <v>41055000</v>
      </c>
      <c r="B111" s="167" t="s">
        <v>96</v>
      </c>
      <c r="C111" s="178">
        <f t="shared" si="5"/>
        <v>1052100</v>
      </c>
      <c r="D111" s="109">
        <f>776600+275500</f>
        <v>1052100</v>
      </c>
      <c r="E111" s="109"/>
      <c r="F111" s="109"/>
    </row>
    <row r="112" spans="1:6" ht="78.75" customHeight="1" hidden="1">
      <c r="A112" s="177">
        <v>41055100</v>
      </c>
      <c r="B112" s="167" t="s">
        <v>97</v>
      </c>
      <c r="C112" s="178">
        <f t="shared" si="5"/>
        <v>0</v>
      </c>
      <c r="D112" s="109"/>
      <c r="E112" s="109"/>
      <c r="F112" s="109"/>
    </row>
    <row r="113" spans="1:6" ht="102" customHeight="1" hidden="1">
      <c r="A113" s="110">
        <v>41055200</v>
      </c>
      <c r="B113" s="167" t="s">
        <v>98</v>
      </c>
      <c r="C113" s="178">
        <f t="shared" si="5"/>
        <v>0</v>
      </c>
      <c r="D113" s="109"/>
      <c r="E113" s="109"/>
      <c r="F113" s="109"/>
    </row>
    <row r="114" spans="1:6" ht="17.25" customHeight="1">
      <c r="A114" s="185" t="s">
        <v>99</v>
      </c>
      <c r="B114" s="186" t="s">
        <v>100</v>
      </c>
      <c r="C114" s="176">
        <f>C88+C89</f>
        <v>283418782.8</v>
      </c>
      <c r="D114" s="176">
        <f>D88+D89</f>
        <v>280188876</v>
      </c>
      <c r="E114" s="176">
        <f>E88+E89</f>
        <v>3229906.8</v>
      </c>
      <c r="F114" s="176">
        <f>F88+F89</f>
        <v>2283470</v>
      </c>
    </row>
    <row r="115" spans="4:6" ht="12.75">
      <c r="D115" s="187"/>
      <c r="E115" s="187"/>
      <c r="F115" s="187"/>
    </row>
    <row r="116" spans="1:6" s="3" customFormat="1" ht="45.75" customHeight="1">
      <c r="A116" s="378" t="s">
        <v>477</v>
      </c>
      <c r="B116" s="379"/>
      <c r="C116" s="379"/>
      <c r="D116" s="379"/>
      <c r="E116" s="379"/>
      <c r="F116" s="379"/>
    </row>
    <row r="117" spans="4:6" ht="12.75">
      <c r="D117" s="187"/>
      <c r="E117" s="187"/>
      <c r="F117" s="187"/>
    </row>
    <row r="118" spans="4:6" ht="12.75">
      <c r="D118" s="187"/>
      <c r="E118" s="187"/>
      <c r="F118" s="187"/>
    </row>
    <row r="119" spans="4:6" ht="12.75">
      <c r="D119" s="188"/>
      <c r="E119" s="188"/>
      <c r="F119" s="187"/>
    </row>
    <row r="120" spans="4:6" ht="12.75">
      <c r="D120" s="187"/>
      <c r="E120" s="187"/>
      <c r="F120" s="187"/>
    </row>
    <row r="121" spans="4:6" ht="12.75">
      <c r="D121" s="187"/>
      <c r="E121" s="187"/>
      <c r="F121" s="187"/>
    </row>
    <row r="122" spans="4:6" ht="12.75">
      <c r="D122" s="187"/>
      <c r="E122" s="187"/>
      <c r="F122" s="187"/>
    </row>
    <row r="123" spans="4:6" ht="12.75">
      <c r="D123" s="187"/>
      <c r="E123" s="187"/>
      <c r="F123" s="187"/>
    </row>
    <row r="124" spans="4:6" ht="12.75">
      <c r="D124" s="187"/>
      <c r="E124" s="187"/>
      <c r="F124" s="187"/>
    </row>
    <row r="125" spans="4:6" ht="12.75">
      <c r="D125" s="187"/>
      <c r="E125" s="187"/>
      <c r="F125" s="187"/>
    </row>
    <row r="126" spans="4:6" ht="12.75">
      <c r="D126" s="187"/>
      <c r="E126" s="187"/>
      <c r="F126" s="187"/>
    </row>
    <row r="127" spans="4:6" ht="12.75">
      <c r="D127" s="187"/>
      <c r="E127" s="187"/>
      <c r="F127" s="187"/>
    </row>
    <row r="128" spans="4:6" ht="12.75">
      <c r="D128" s="187"/>
      <c r="E128" s="187"/>
      <c r="F128" s="187"/>
    </row>
    <row r="129" spans="4:6" ht="12.75">
      <c r="D129" s="187"/>
      <c r="E129" s="187"/>
      <c r="F129" s="187"/>
    </row>
    <row r="130" spans="4:6" ht="12.75">
      <c r="D130" s="187"/>
      <c r="E130" s="187"/>
      <c r="F130" s="187"/>
    </row>
    <row r="131" spans="4:6" ht="12.75">
      <c r="D131" s="187"/>
      <c r="E131" s="187"/>
      <c r="F131" s="187"/>
    </row>
    <row r="132" spans="4:6" ht="12.75">
      <c r="D132" s="187"/>
      <c r="E132" s="187"/>
      <c r="F132" s="187"/>
    </row>
    <row r="133" spans="4:6" ht="12.75">
      <c r="D133" s="187"/>
      <c r="E133" s="187"/>
      <c r="F133" s="187"/>
    </row>
    <row r="134" spans="4:6" ht="12.75">
      <c r="D134" s="187"/>
      <c r="E134" s="187"/>
      <c r="F134" s="187"/>
    </row>
    <row r="135" spans="4:6" ht="12.75">
      <c r="D135" s="187"/>
      <c r="E135" s="187"/>
      <c r="F135" s="187"/>
    </row>
    <row r="136" spans="4:6" ht="12.75">
      <c r="D136" s="187"/>
      <c r="E136" s="187"/>
      <c r="F136" s="187"/>
    </row>
    <row r="137" spans="4:6" ht="12.75">
      <c r="D137" s="187"/>
      <c r="E137" s="187"/>
      <c r="F137" s="187"/>
    </row>
    <row r="138" spans="4:6" ht="12.75">
      <c r="D138" s="187"/>
      <c r="E138" s="187"/>
      <c r="F138" s="187"/>
    </row>
    <row r="139" spans="4:6" ht="12.75">
      <c r="D139" s="187"/>
      <c r="E139" s="187"/>
      <c r="F139" s="187"/>
    </row>
    <row r="140" spans="4:6" ht="12.75">
      <c r="D140" s="187"/>
      <c r="E140" s="187"/>
      <c r="F140" s="187"/>
    </row>
    <row r="141" spans="4:6" ht="12.75">
      <c r="D141" s="187"/>
      <c r="E141" s="187"/>
      <c r="F141" s="187"/>
    </row>
    <row r="142" spans="4:6" ht="12.75">
      <c r="D142" s="187"/>
      <c r="E142" s="187"/>
      <c r="F142" s="187"/>
    </row>
    <row r="143" spans="4:6" ht="12.75">
      <c r="D143" s="187"/>
      <c r="E143" s="187"/>
      <c r="F143" s="187"/>
    </row>
    <row r="144" spans="4:6" ht="12.75">
      <c r="D144" s="187"/>
      <c r="E144" s="187"/>
      <c r="F144" s="187"/>
    </row>
    <row r="145" spans="4:6" ht="12.75">
      <c r="D145" s="187"/>
      <c r="E145" s="187"/>
      <c r="F145" s="187"/>
    </row>
    <row r="146" spans="4:6" ht="12.75">
      <c r="D146" s="187"/>
      <c r="E146" s="187"/>
      <c r="F146" s="187"/>
    </row>
    <row r="147" spans="4:6" ht="12.75">
      <c r="D147" s="187"/>
      <c r="E147" s="187"/>
      <c r="F147" s="187"/>
    </row>
    <row r="148" spans="4:6" ht="12.75">
      <c r="D148" s="187"/>
      <c r="E148" s="187"/>
      <c r="F148" s="187"/>
    </row>
    <row r="149" spans="4:6" ht="12.75">
      <c r="D149" s="187"/>
      <c r="E149" s="187"/>
      <c r="F149" s="187"/>
    </row>
    <row r="150" spans="4:6" ht="12.75">
      <c r="D150" s="187"/>
      <c r="E150" s="187"/>
      <c r="F150" s="187"/>
    </row>
    <row r="151" spans="4:6" ht="12.75">
      <c r="D151" s="187"/>
      <c r="E151" s="187"/>
      <c r="F151" s="187"/>
    </row>
    <row r="152" spans="4:6" ht="12.75">
      <c r="D152" s="187"/>
      <c r="E152" s="187"/>
      <c r="F152" s="187"/>
    </row>
    <row r="153" spans="4:6" ht="12.75">
      <c r="D153" s="187"/>
      <c r="E153" s="187"/>
      <c r="F153" s="187"/>
    </row>
    <row r="154" spans="4:6" ht="12.75">
      <c r="D154" s="187"/>
      <c r="E154" s="187"/>
      <c r="F154" s="187"/>
    </row>
    <row r="155" spans="4:6" ht="12.75">
      <c r="D155" s="187"/>
      <c r="E155" s="187"/>
      <c r="F155" s="187"/>
    </row>
    <row r="156" spans="4:6" ht="12.75">
      <c r="D156" s="187"/>
      <c r="E156" s="187"/>
      <c r="F156" s="187"/>
    </row>
    <row r="157" spans="4:6" ht="12.75">
      <c r="D157" s="187"/>
      <c r="E157" s="187"/>
      <c r="F157" s="187"/>
    </row>
    <row r="158" spans="4:6" ht="12.75">
      <c r="D158" s="187"/>
      <c r="E158" s="187"/>
      <c r="F158" s="187"/>
    </row>
    <row r="159" spans="4:6" ht="12.75">
      <c r="D159" s="187"/>
      <c r="E159" s="187"/>
      <c r="F159" s="187"/>
    </row>
    <row r="160" spans="4:6" ht="12.75">
      <c r="D160" s="187"/>
      <c r="E160" s="187"/>
      <c r="F160" s="187"/>
    </row>
    <row r="161" spans="4:6" ht="12.75">
      <c r="D161" s="187"/>
      <c r="E161" s="187"/>
      <c r="F161" s="187"/>
    </row>
    <row r="162" spans="4:6" ht="12.75">
      <c r="D162" s="187"/>
      <c r="E162" s="187"/>
      <c r="F162" s="187"/>
    </row>
    <row r="163" spans="4:6" ht="12.75">
      <c r="D163" s="187"/>
      <c r="E163" s="187"/>
      <c r="F163" s="187"/>
    </row>
    <row r="164" spans="4:6" ht="12.75">
      <c r="D164" s="187"/>
      <c r="E164" s="187"/>
      <c r="F164" s="187"/>
    </row>
    <row r="165" spans="4:6" ht="12.75">
      <c r="D165" s="187"/>
      <c r="E165" s="187"/>
      <c r="F165" s="187"/>
    </row>
    <row r="166" spans="4:6" ht="12.75">
      <c r="D166" s="187"/>
      <c r="E166" s="187"/>
      <c r="F166" s="187"/>
    </row>
    <row r="167" spans="4:6" ht="12.75">
      <c r="D167" s="187"/>
      <c r="E167" s="187"/>
      <c r="F167" s="187"/>
    </row>
    <row r="168" spans="4:6" ht="12.75">
      <c r="D168" s="187"/>
      <c r="E168" s="187"/>
      <c r="F168" s="187"/>
    </row>
    <row r="169" spans="4:6" ht="12.75">
      <c r="D169" s="187"/>
      <c r="E169" s="187"/>
      <c r="F169" s="187"/>
    </row>
    <row r="170" spans="4:6" ht="12.75">
      <c r="D170" s="187"/>
      <c r="E170" s="187"/>
      <c r="F170" s="187"/>
    </row>
    <row r="171" spans="4:6" ht="12.75">
      <c r="D171" s="187"/>
      <c r="E171" s="187"/>
      <c r="F171" s="187"/>
    </row>
    <row r="172" spans="4:6" ht="12.75">
      <c r="D172" s="187"/>
      <c r="E172" s="187"/>
      <c r="F172" s="187"/>
    </row>
    <row r="173" spans="4:6" ht="12.75">
      <c r="D173" s="187"/>
      <c r="E173" s="187"/>
      <c r="F173" s="187"/>
    </row>
    <row r="174" spans="4:6" ht="12.75">
      <c r="D174" s="187"/>
      <c r="E174" s="187"/>
      <c r="F174" s="187"/>
    </row>
    <row r="175" spans="4:6" ht="12.75">
      <c r="D175" s="187"/>
      <c r="E175" s="187"/>
      <c r="F175" s="187"/>
    </row>
    <row r="176" spans="4:6" ht="12.75">
      <c r="D176" s="187"/>
      <c r="E176" s="187"/>
      <c r="F176" s="187"/>
    </row>
    <row r="177" spans="4:6" ht="12.75">
      <c r="D177" s="187"/>
      <c r="E177" s="187"/>
      <c r="F177" s="187"/>
    </row>
    <row r="178" spans="4:6" ht="12.75">
      <c r="D178" s="187"/>
      <c r="E178" s="187"/>
      <c r="F178" s="187"/>
    </row>
    <row r="179" spans="4:6" ht="12.75">
      <c r="D179" s="187"/>
      <c r="E179" s="187"/>
      <c r="F179" s="187"/>
    </row>
    <row r="180" spans="4:6" ht="12.75">
      <c r="D180" s="187"/>
      <c r="E180" s="187"/>
      <c r="F180" s="187"/>
    </row>
    <row r="181" spans="4:6" ht="12.75">
      <c r="D181" s="187"/>
      <c r="E181" s="187"/>
      <c r="F181" s="187"/>
    </row>
    <row r="182" spans="4:6" ht="12.75">
      <c r="D182" s="187"/>
      <c r="E182" s="187"/>
      <c r="F182" s="187"/>
    </row>
    <row r="183" spans="4:6" ht="12.75">
      <c r="D183" s="187"/>
      <c r="E183" s="187"/>
      <c r="F183" s="187"/>
    </row>
    <row r="184" spans="4:6" ht="12.75">
      <c r="D184" s="187"/>
      <c r="E184" s="187"/>
      <c r="F184" s="187"/>
    </row>
  </sheetData>
  <sheetProtection/>
  <mergeCells count="15">
    <mergeCell ref="E11:F11"/>
    <mergeCell ref="A88:B88"/>
    <mergeCell ref="A116:F116"/>
    <mergeCell ref="A11:A13"/>
    <mergeCell ref="B11:B13"/>
    <mergeCell ref="C11:C13"/>
    <mergeCell ref="D11:D13"/>
    <mergeCell ref="E12:E13"/>
    <mergeCell ref="F12:F13"/>
    <mergeCell ref="D1:F1"/>
    <mergeCell ref="D2:F2"/>
    <mergeCell ref="D3:F3"/>
    <mergeCell ref="C5:F5"/>
    <mergeCell ref="A7:F7"/>
    <mergeCell ref="C4:F4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5.375" style="12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16"/>
    </row>
    <row r="2" spans="4:6" ht="15.75">
      <c r="D2" s="369" t="s">
        <v>101</v>
      </c>
      <c r="E2" s="369"/>
      <c r="F2" s="369"/>
    </row>
    <row r="3" spans="4:6" ht="15.75">
      <c r="D3" s="369" t="str">
        <f>додаток1!D2</f>
        <v>до  рішення сесії Тетіївської міської ради</v>
      </c>
      <c r="E3" s="369"/>
      <c r="F3" s="369"/>
    </row>
    <row r="4" spans="4:6" ht="31.5" customHeight="1">
      <c r="D4" s="370" t="str">
        <f>додаток1!D3</f>
        <v>"Про бюджет Тетіївської міської територіальної громади на 2021 рік" від 24.12.2020.№ 39-02-VIII</v>
      </c>
      <c r="E4" s="370"/>
      <c r="F4" s="370"/>
    </row>
    <row r="5" spans="4:8" ht="16.5" customHeight="1">
      <c r="D5" s="381" t="str">
        <f>додаток1!C4</f>
        <v>(в редакції проекту сесії міської ради від 28.09.2021 № -10-VІІ)</v>
      </c>
      <c r="E5" s="381"/>
      <c r="F5" s="381"/>
      <c r="G5" s="99"/>
      <c r="H5" s="99"/>
    </row>
    <row r="6" spans="3:8" ht="15.75">
      <c r="C6" s="371"/>
      <c r="D6" s="371"/>
      <c r="E6" s="371"/>
      <c r="F6" s="371"/>
      <c r="G6" s="99"/>
      <c r="H6" s="99"/>
    </row>
    <row r="7" spans="1:6" s="89" customFormat="1" ht="30" customHeight="1">
      <c r="A7" s="382" t="s">
        <v>102</v>
      </c>
      <c r="B7" s="382"/>
      <c r="C7" s="382"/>
      <c r="D7" s="382"/>
      <c r="E7" s="382"/>
      <c r="F7" s="382"/>
    </row>
    <row r="8" spans="1:6" s="89" customFormat="1" ht="15.75" customHeight="1">
      <c r="A8" s="101">
        <f>додаток1!A8</f>
        <v>10508000000</v>
      </c>
      <c r="B8" s="100"/>
      <c r="C8" s="100"/>
      <c r="D8" s="102"/>
      <c r="E8" s="102"/>
      <c r="F8" s="102"/>
    </row>
    <row r="9" spans="1:6" s="89" customFormat="1" ht="15.75" customHeight="1">
      <c r="A9" s="73" t="s">
        <v>2</v>
      </c>
      <c r="B9" s="100"/>
      <c r="C9" s="100"/>
      <c r="D9" s="102"/>
      <c r="E9" s="102"/>
      <c r="F9" s="102"/>
    </row>
    <row r="10" spans="1:6" s="90" customFormat="1" ht="15.75" customHeight="1">
      <c r="A10" s="103"/>
      <c r="F10" s="56" t="s">
        <v>3</v>
      </c>
    </row>
    <row r="11" spans="1:6" s="91" customFormat="1" ht="33.75" customHeight="1">
      <c r="A11" s="384" t="s">
        <v>4</v>
      </c>
      <c r="B11" s="375" t="s">
        <v>103</v>
      </c>
      <c r="C11" s="393" t="s">
        <v>6</v>
      </c>
      <c r="D11" s="395" t="s">
        <v>7</v>
      </c>
      <c r="E11" s="383" t="s">
        <v>8</v>
      </c>
      <c r="F11" s="384"/>
    </row>
    <row r="12" spans="1:6" s="92" customFormat="1" ht="42" customHeight="1">
      <c r="A12" s="384"/>
      <c r="B12" s="392"/>
      <c r="C12" s="394"/>
      <c r="D12" s="396"/>
      <c r="E12" s="164" t="s">
        <v>104</v>
      </c>
      <c r="F12" s="104" t="s">
        <v>105</v>
      </c>
    </row>
    <row r="13" spans="1:6" s="93" customFormat="1" ht="15.75" customHeight="1">
      <c r="A13" s="105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</row>
    <row r="14" spans="1:6" s="94" customFormat="1" ht="15.75" customHeight="1">
      <c r="A14" s="385" t="s">
        <v>106</v>
      </c>
      <c r="B14" s="386"/>
      <c r="C14" s="386"/>
      <c r="D14" s="386"/>
      <c r="E14" s="386"/>
      <c r="F14" s="387"/>
    </row>
    <row r="15" spans="1:6" s="7" customFormat="1" ht="24" customHeight="1">
      <c r="A15" s="111">
        <v>200000</v>
      </c>
      <c r="B15" s="165" t="s">
        <v>107</v>
      </c>
      <c r="C15" s="166">
        <f>D15+E15</f>
        <v>6523249.83</v>
      </c>
      <c r="D15" s="107">
        <f>D16+D20+D23</f>
        <v>-10323109.26</v>
      </c>
      <c r="E15" s="107">
        <f>E16+E20+E23</f>
        <v>16846359.09</v>
      </c>
      <c r="F15" s="107">
        <f>F16+F20+F23</f>
        <v>16625987.6</v>
      </c>
    </row>
    <row r="16" spans="1:6" s="7" customFormat="1" ht="24" customHeight="1">
      <c r="A16" s="111">
        <v>203000</v>
      </c>
      <c r="B16" s="165" t="s">
        <v>108</v>
      </c>
      <c r="C16" s="166">
        <f aca="true" t="shared" si="0" ref="C16:C36">D16+E16</f>
        <v>0</v>
      </c>
      <c r="D16" s="107">
        <f>D17</f>
        <v>0</v>
      </c>
      <c r="E16" s="107">
        <f>E17</f>
        <v>0</v>
      </c>
      <c r="F16" s="107">
        <f>F17</f>
        <v>0</v>
      </c>
    </row>
    <row r="17" spans="1:6" s="7" customFormat="1" ht="34.5" customHeight="1">
      <c r="A17" s="111">
        <v>203400</v>
      </c>
      <c r="B17" s="165" t="s">
        <v>109</v>
      </c>
      <c r="C17" s="166">
        <f>C18-C19</f>
        <v>78188852</v>
      </c>
      <c r="D17" s="107">
        <f>D18+D19</f>
        <v>0</v>
      </c>
      <c r="E17" s="107">
        <f>E18+E19</f>
        <v>0</v>
      </c>
      <c r="F17" s="107">
        <f>F18+F19</f>
        <v>0</v>
      </c>
    </row>
    <row r="18" spans="1:6" s="7" customFormat="1" ht="24" customHeight="1">
      <c r="A18" s="108">
        <v>203410</v>
      </c>
      <c r="B18" s="167" t="s">
        <v>110</v>
      </c>
      <c r="C18" s="166">
        <f t="shared" si="0"/>
        <v>39094426</v>
      </c>
      <c r="D18" s="109">
        <v>39094426</v>
      </c>
      <c r="E18" s="109"/>
      <c r="F18" s="109"/>
    </row>
    <row r="19" spans="1:6" s="7" customFormat="1" ht="24" customHeight="1">
      <c r="A19" s="108">
        <v>203420</v>
      </c>
      <c r="B19" s="167" t="s">
        <v>111</v>
      </c>
      <c r="C19" s="166">
        <f t="shared" si="0"/>
        <v>-39094426</v>
      </c>
      <c r="D19" s="109">
        <v>-39094426</v>
      </c>
      <c r="E19" s="109"/>
      <c r="F19" s="109"/>
    </row>
    <row r="20" spans="1:6" s="7" customFormat="1" ht="51" customHeight="1">
      <c r="A20" s="111">
        <v>205000</v>
      </c>
      <c r="B20" s="165" t="s">
        <v>112</v>
      </c>
      <c r="C20" s="166">
        <f t="shared" si="0"/>
        <v>0</v>
      </c>
      <c r="D20" s="107">
        <f>D21-D22</f>
        <v>0</v>
      </c>
      <c r="E20" s="107">
        <f>E21-E22</f>
        <v>0</v>
      </c>
      <c r="F20" s="107">
        <f>F21-F22</f>
        <v>0</v>
      </c>
    </row>
    <row r="21" spans="1:6" s="90" customFormat="1" ht="24" customHeight="1">
      <c r="A21" s="108">
        <v>205100</v>
      </c>
      <c r="B21" s="167" t="s">
        <v>113</v>
      </c>
      <c r="C21" s="166">
        <f t="shared" si="0"/>
        <v>313288</v>
      </c>
      <c r="D21" s="109"/>
      <c r="E21" s="109">
        <v>313288</v>
      </c>
      <c r="F21" s="109"/>
    </row>
    <row r="22" spans="1:6" s="90" customFormat="1" ht="24" customHeight="1">
      <c r="A22" s="108">
        <v>205200</v>
      </c>
      <c r="B22" s="167" t="s">
        <v>114</v>
      </c>
      <c r="C22" s="166">
        <f t="shared" si="0"/>
        <v>313288</v>
      </c>
      <c r="D22" s="109"/>
      <c r="E22" s="109">
        <v>313288</v>
      </c>
      <c r="F22" s="109"/>
    </row>
    <row r="23" spans="1:6" s="90" customFormat="1" ht="37.5" customHeight="1">
      <c r="A23" s="111">
        <v>208000</v>
      </c>
      <c r="B23" s="165" t="s">
        <v>115</v>
      </c>
      <c r="C23" s="166">
        <f t="shared" si="0"/>
        <v>6523249.83</v>
      </c>
      <c r="D23" s="107">
        <f>D24-D25+D26</f>
        <v>-10323109.26</v>
      </c>
      <c r="E23" s="107">
        <f>E24-E25+E26</f>
        <v>16846359.09</v>
      </c>
      <c r="F23" s="107">
        <f>F24-F25+F26</f>
        <v>16625987.6</v>
      </c>
    </row>
    <row r="24" spans="1:6" s="90" customFormat="1" ht="24.75" customHeight="1">
      <c r="A24" s="108">
        <v>208100</v>
      </c>
      <c r="B24" s="167" t="s">
        <v>113</v>
      </c>
      <c r="C24" s="166">
        <f t="shared" si="0"/>
        <v>7577151</v>
      </c>
      <c r="D24" s="109">
        <f>1295324+5144994</f>
        <v>6440318</v>
      </c>
      <c r="E24" s="109">
        <f>634302+502531</f>
        <v>1136833</v>
      </c>
      <c r="F24" s="109">
        <f>629674+259679+2908</f>
        <v>892261</v>
      </c>
    </row>
    <row r="25" spans="1:6" s="90" customFormat="1" ht="24.75" customHeight="1">
      <c r="A25" s="108">
        <v>208200</v>
      </c>
      <c r="B25" s="167" t="s">
        <v>114</v>
      </c>
      <c r="C25" s="166">
        <f t="shared" si="0"/>
        <v>1053901.1700000002</v>
      </c>
      <c r="D25" s="168">
        <f>6440318-5172793.34-250085</f>
        <v>1017439.6600000001</v>
      </c>
      <c r="E25" s="109">
        <f>1136833-1100371.49</f>
        <v>36461.51000000001</v>
      </c>
      <c r="F25" s="109">
        <f>892261-880000</f>
        <v>12261</v>
      </c>
    </row>
    <row r="26" spans="1:6" s="90" customFormat="1" ht="43.5" customHeight="1">
      <c r="A26" s="108">
        <v>208400</v>
      </c>
      <c r="B26" s="167" t="s">
        <v>116</v>
      </c>
      <c r="C26" s="169">
        <f t="shared" si="0"/>
        <v>0</v>
      </c>
      <c r="D26" s="109">
        <f>-7666464-5689166.6-1460973-39584-366500-523300</f>
        <v>-15745987.6</v>
      </c>
      <c r="E26" s="109">
        <f>7666464+5689166.6+1460973+39584+366500+523300</f>
        <v>15745987.6</v>
      </c>
      <c r="F26" s="109">
        <f>E26</f>
        <v>15745987.6</v>
      </c>
    </row>
    <row r="27" spans="1:6" s="7" customFormat="1" ht="28.5" customHeight="1">
      <c r="A27" s="111"/>
      <c r="B27" s="165" t="s">
        <v>117</v>
      </c>
      <c r="C27" s="166">
        <f t="shared" si="0"/>
        <v>6523249.83</v>
      </c>
      <c r="D27" s="107">
        <f>D15</f>
        <v>-10323109.26</v>
      </c>
      <c r="E27" s="107">
        <f>E15</f>
        <v>16846359.09</v>
      </c>
      <c r="F27" s="107">
        <f>F15</f>
        <v>16625987.6</v>
      </c>
    </row>
    <row r="28" spans="1:6" s="7" customFormat="1" ht="28.5" customHeight="1">
      <c r="A28" s="388" t="s">
        <v>118</v>
      </c>
      <c r="B28" s="389"/>
      <c r="C28" s="389"/>
      <c r="D28" s="389"/>
      <c r="E28" s="389"/>
      <c r="F28" s="390"/>
    </row>
    <row r="29" spans="1:6" s="7" customFormat="1" ht="31.5" customHeight="1">
      <c r="A29" s="111">
        <v>600000</v>
      </c>
      <c r="B29" s="165" t="s">
        <v>119</v>
      </c>
      <c r="C29" s="166">
        <f t="shared" si="0"/>
        <v>6523249.83</v>
      </c>
      <c r="D29" s="107">
        <f>D20+D23</f>
        <v>-10323109.26</v>
      </c>
      <c r="E29" s="107">
        <f>E20+E23</f>
        <v>16846359.09</v>
      </c>
      <c r="F29" s="107">
        <f>F20+F23</f>
        <v>16625987.6</v>
      </c>
    </row>
    <row r="30" spans="1:7" s="7" customFormat="1" ht="21.75" customHeight="1">
      <c r="A30" s="111">
        <v>602000</v>
      </c>
      <c r="B30" s="165" t="s">
        <v>120</v>
      </c>
      <c r="C30" s="166">
        <f t="shared" si="0"/>
        <v>6523249.83</v>
      </c>
      <c r="D30" s="107">
        <f>D31-D32+D33</f>
        <v>-10323109.26</v>
      </c>
      <c r="E30" s="107">
        <f>E31-E32+E33</f>
        <v>16846359.09</v>
      </c>
      <c r="F30" s="107">
        <f>F31-F32+F33</f>
        <v>16625987.6</v>
      </c>
      <c r="G30" s="90"/>
    </row>
    <row r="31" spans="1:6" s="7" customFormat="1" ht="24" customHeight="1">
      <c r="A31" s="108">
        <v>602100</v>
      </c>
      <c r="B31" s="167" t="s">
        <v>113</v>
      </c>
      <c r="C31" s="166">
        <f t="shared" si="0"/>
        <v>7890439</v>
      </c>
      <c r="D31" s="109">
        <f aca="true" t="shared" si="1" ref="D31:F32">D21+D24</f>
        <v>6440318</v>
      </c>
      <c r="E31" s="109">
        <f t="shared" si="1"/>
        <v>1450121</v>
      </c>
      <c r="F31" s="109">
        <f t="shared" si="1"/>
        <v>892261</v>
      </c>
    </row>
    <row r="32" spans="1:6" s="7" customFormat="1" ht="25.5" customHeight="1">
      <c r="A32" s="108">
        <v>602200</v>
      </c>
      <c r="B32" s="167" t="s">
        <v>114</v>
      </c>
      <c r="C32" s="166">
        <f t="shared" si="0"/>
        <v>1367189.1700000002</v>
      </c>
      <c r="D32" s="109">
        <f t="shared" si="1"/>
        <v>1017439.6600000001</v>
      </c>
      <c r="E32" s="109">
        <f t="shared" si="1"/>
        <v>349749.51</v>
      </c>
      <c r="F32" s="109">
        <f t="shared" si="1"/>
        <v>12261</v>
      </c>
    </row>
    <row r="33" spans="1:6" s="7" customFormat="1" ht="53.25" customHeight="1">
      <c r="A33" s="108">
        <v>602400</v>
      </c>
      <c r="B33" s="167" t="s">
        <v>116</v>
      </c>
      <c r="C33" s="169">
        <f t="shared" si="0"/>
        <v>0</v>
      </c>
      <c r="D33" s="109">
        <f>D26</f>
        <v>-15745987.6</v>
      </c>
      <c r="E33" s="109">
        <f>E26</f>
        <v>15745987.6</v>
      </c>
      <c r="F33" s="109">
        <f>F26</f>
        <v>15745987.6</v>
      </c>
    </row>
    <row r="34" spans="1:6" s="90" customFormat="1" ht="31.5" customHeight="1">
      <c r="A34" s="111">
        <v>603000</v>
      </c>
      <c r="B34" s="165" t="s">
        <v>121</v>
      </c>
      <c r="C34" s="166">
        <f t="shared" si="0"/>
        <v>0</v>
      </c>
      <c r="D34" s="107">
        <v>0</v>
      </c>
      <c r="E34" s="107">
        <v>0</v>
      </c>
      <c r="F34" s="107">
        <v>0</v>
      </c>
    </row>
    <row r="35" spans="1:6" s="90" customFormat="1" ht="31.5" customHeight="1">
      <c r="A35" s="108">
        <v>603000</v>
      </c>
      <c r="B35" s="167" t="s">
        <v>121</v>
      </c>
      <c r="C35" s="166">
        <f t="shared" si="0"/>
        <v>0</v>
      </c>
      <c r="D35" s="109">
        <v>0</v>
      </c>
      <c r="E35" s="109">
        <v>0</v>
      </c>
      <c r="F35" s="109">
        <v>0</v>
      </c>
    </row>
    <row r="36" spans="1:6" s="7" customFormat="1" ht="31.5" customHeight="1">
      <c r="A36" s="106" t="s">
        <v>99</v>
      </c>
      <c r="B36" s="165" t="s">
        <v>117</v>
      </c>
      <c r="C36" s="166">
        <f t="shared" si="0"/>
        <v>6523249.83</v>
      </c>
      <c r="D36" s="107">
        <f>D15</f>
        <v>-10323109.26</v>
      </c>
      <c r="E36" s="107">
        <f>E15</f>
        <v>16846359.09</v>
      </c>
      <c r="F36" s="107">
        <f>F15</f>
        <v>16625987.6</v>
      </c>
    </row>
    <row r="37" spans="1:6" s="90" customFormat="1" ht="62.25" customHeight="1">
      <c r="A37" s="391" t="str">
        <f>додаток1!A116</f>
        <v>Секретар ради                                                                        Наталія  ІВАНЮТА</v>
      </c>
      <c r="B37" s="391"/>
      <c r="C37" s="391"/>
      <c r="D37" s="391"/>
      <c r="E37" s="391"/>
      <c r="F37" s="391"/>
    </row>
    <row r="38" s="90" customFormat="1" ht="23.25" customHeight="1">
      <c r="A38" s="103"/>
    </row>
    <row r="39" spans="1:5" s="90" customFormat="1" ht="15.75">
      <c r="A39" s="103"/>
      <c r="D39" s="170"/>
      <c r="E39" s="170"/>
    </row>
    <row r="40" s="90" customFormat="1" ht="15.75">
      <c r="A40" s="103"/>
    </row>
    <row r="41" s="90" customFormat="1" ht="15.75">
      <c r="A41" s="103"/>
    </row>
    <row r="42" s="90" customFormat="1" ht="15.75">
      <c r="A42" s="103"/>
    </row>
    <row r="43" s="90" customFormat="1" ht="15.75">
      <c r="A43" s="103"/>
    </row>
    <row r="44" s="90" customFormat="1" ht="15.75">
      <c r="A44" s="103"/>
    </row>
    <row r="45" s="90" customFormat="1" ht="15.75">
      <c r="A45" s="103"/>
    </row>
    <row r="46" s="90" customFormat="1" ht="15.75">
      <c r="A46" s="103"/>
    </row>
    <row r="47" s="90" customFormat="1" ht="15.75">
      <c r="A47" s="103"/>
    </row>
    <row r="48" s="90" customFormat="1" ht="15.75">
      <c r="A48" s="103"/>
    </row>
    <row r="49" s="90" customFormat="1" ht="15.75">
      <c r="A49" s="103"/>
    </row>
    <row r="50" s="90" customFormat="1" ht="15.75">
      <c r="A50" s="103"/>
    </row>
    <row r="51" s="90" customFormat="1" ht="15.75">
      <c r="A51" s="103"/>
    </row>
    <row r="52" s="90" customFormat="1" ht="15.75">
      <c r="A52" s="103"/>
    </row>
    <row r="53" s="90" customFormat="1" ht="15.75">
      <c r="A53" s="103"/>
    </row>
    <row r="54" s="90" customFormat="1" ht="15.75">
      <c r="A54" s="103"/>
    </row>
    <row r="55" s="90" customFormat="1" ht="15.75">
      <c r="A55" s="103"/>
    </row>
    <row r="56" s="90" customFormat="1" ht="15.75">
      <c r="A56" s="103"/>
    </row>
    <row r="57" s="90" customFormat="1" ht="15.75">
      <c r="A57" s="103"/>
    </row>
    <row r="58" s="90" customFormat="1" ht="15.75">
      <c r="A58" s="103"/>
    </row>
    <row r="59" s="90" customFormat="1" ht="15.75">
      <c r="A59" s="103"/>
    </row>
    <row r="60" s="90" customFormat="1" ht="15.75">
      <c r="A60" s="103"/>
    </row>
    <row r="61" s="90" customFormat="1" ht="15.75">
      <c r="A61" s="103"/>
    </row>
    <row r="62" s="90" customFormat="1" ht="15.75">
      <c r="A62" s="103"/>
    </row>
    <row r="63" s="90" customFormat="1" ht="15.75">
      <c r="A63" s="103"/>
    </row>
    <row r="64" s="90" customFormat="1" ht="15.75">
      <c r="A64" s="103"/>
    </row>
    <row r="65" s="90" customFormat="1" ht="15.75">
      <c r="A65" s="103"/>
    </row>
    <row r="66" s="90" customFormat="1" ht="15.75">
      <c r="A66" s="103"/>
    </row>
    <row r="67" s="90" customFormat="1" ht="15.75">
      <c r="A67" s="103"/>
    </row>
    <row r="68" s="90" customFormat="1" ht="15.75">
      <c r="A68" s="103"/>
    </row>
    <row r="69" s="90" customFormat="1" ht="15.75">
      <c r="A69" s="103"/>
    </row>
  </sheetData>
  <sheetProtection/>
  <mergeCells count="14">
    <mergeCell ref="E11:F11"/>
    <mergeCell ref="A14:F14"/>
    <mergeCell ref="A28:F28"/>
    <mergeCell ref="A37:F37"/>
    <mergeCell ref="A11:A12"/>
    <mergeCell ref="B11:B12"/>
    <mergeCell ref="C11:C12"/>
    <mergeCell ref="D11:D12"/>
    <mergeCell ref="D2:F2"/>
    <mergeCell ref="D3:F3"/>
    <mergeCell ref="D4:F4"/>
    <mergeCell ref="D5:F5"/>
    <mergeCell ref="C6:F6"/>
    <mergeCell ref="A7:F7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Zeros="0" zoomScale="68" zoomScaleNormal="68" zoomScalePageLayoutView="0" workbookViewId="0" topLeftCell="A80">
      <selection activeCell="F92" sqref="F92"/>
    </sheetView>
  </sheetViews>
  <sheetFormatPr defaultColWidth="9.00390625" defaultRowHeight="12.75"/>
  <cols>
    <col min="1" max="1" width="12.75390625" style="133" customWidth="1"/>
    <col min="2" max="2" width="12.125" style="134" customWidth="1"/>
    <col min="3" max="3" width="12.625" style="134" customWidth="1"/>
    <col min="4" max="4" width="71.125" style="121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16" bestFit="1" customWidth="1"/>
    <col min="18" max="16384" width="9.125" style="16" customWidth="1"/>
  </cols>
  <sheetData>
    <row r="1" spans="12:16" ht="23.25" customHeight="1">
      <c r="L1" s="131"/>
      <c r="M1" s="401" t="s">
        <v>122</v>
      </c>
      <c r="N1" s="401"/>
      <c r="O1" s="401"/>
      <c r="P1" s="401"/>
    </row>
    <row r="2" spans="4:16" ht="21" customHeight="1">
      <c r="D2" s="16"/>
      <c r="L2" s="131"/>
      <c r="M2" s="401" t="str">
        <f>додаток1!D2</f>
        <v>до  рішення сесії Тетіївської міської ради</v>
      </c>
      <c r="N2" s="401"/>
      <c r="O2" s="401"/>
      <c r="P2" s="401"/>
    </row>
    <row r="3" spans="4:16" ht="33.75" customHeight="1">
      <c r="D3" s="120"/>
      <c r="L3" s="155">
        <f>додаток1!C3</f>
        <v>0</v>
      </c>
      <c r="M3" s="402" t="str">
        <f>додаток1!D3</f>
        <v>"Про бюджет Тетіївської міської територіальної громади на 2021 рік" від 24.12.2020.№ 39-02-VIII</v>
      </c>
      <c r="N3" s="402"/>
      <c r="O3" s="402"/>
      <c r="P3" s="402"/>
    </row>
    <row r="4" spans="12:16" ht="18.75" customHeight="1">
      <c r="L4" s="410" t="str">
        <f>додаток1!C4</f>
        <v>(в редакції проекту сесії міської ради від 28.09.2021 № -10-VІІ)</v>
      </c>
      <c r="M4" s="374"/>
      <c r="N4" s="374"/>
      <c r="O4" s="374"/>
      <c r="P4" s="374"/>
    </row>
    <row r="5" spans="12:16" ht="21" customHeight="1">
      <c r="L5" s="401">
        <f>додаток1!C5</f>
        <v>0</v>
      </c>
      <c r="M5" s="401"/>
      <c r="N5" s="401"/>
      <c r="O5" s="401"/>
      <c r="P5" s="401"/>
    </row>
    <row r="6" spans="10:16" ht="18" customHeight="1">
      <c r="J6" s="97"/>
      <c r="K6" s="97"/>
      <c r="L6" s="369"/>
      <c r="M6" s="369"/>
      <c r="N6" s="369"/>
      <c r="O6" s="369"/>
      <c r="P6" s="369"/>
    </row>
    <row r="7" spans="1:16" s="3" customFormat="1" ht="21.75" customHeight="1">
      <c r="A7" s="135"/>
      <c r="B7" s="403" t="s">
        <v>123</v>
      </c>
      <c r="C7" s="403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</row>
    <row r="8" spans="1:16" s="3" customFormat="1" ht="25.5" customHeight="1">
      <c r="A8" s="405">
        <f>додаток1!A8</f>
        <v>10508000000</v>
      </c>
      <c r="B8" s="405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s="3" customFormat="1" ht="25.5" customHeight="1">
      <c r="A9" s="406" t="s">
        <v>2</v>
      </c>
      <c r="B9" s="406"/>
      <c r="C9" s="138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ht="37.5" customHeight="1">
      <c r="P10" s="58" t="s">
        <v>3</v>
      </c>
    </row>
    <row r="11" spans="1:16" s="122" customFormat="1" ht="32.25" customHeight="1">
      <c r="A11" s="411" t="s">
        <v>124</v>
      </c>
      <c r="B11" s="414" t="s">
        <v>125</v>
      </c>
      <c r="C11" s="375" t="s">
        <v>126</v>
      </c>
      <c r="D11" s="415" t="s">
        <v>127</v>
      </c>
      <c r="E11" s="407" t="s">
        <v>7</v>
      </c>
      <c r="F11" s="408"/>
      <c r="G11" s="408"/>
      <c r="H11" s="408"/>
      <c r="I11" s="409"/>
      <c r="J11" s="397" t="s">
        <v>128</v>
      </c>
      <c r="K11" s="397"/>
      <c r="L11" s="397"/>
      <c r="M11" s="397"/>
      <c r="N11" s="397"/>
      <c r="O11" s="397"/>
      <c r="P11" s="397" t="s">
        <v>129</v>
      </c>
    </row>
    <row r="12" spans="1:16" s="122" customFormat="1" ht="12.75" customHeight="1">
      <c r="A12" s="412"/>
      <c r="B12" s="414"/>
      <c r="C12" s="375"/>
      <c r="D12" s="415"/>
      <c r="E12" s="397" t="s">
        <v>6</v>
      </c>
      <c r="F12" s="398" t="s">
        <v>130</v>
      </c>
      <c r="G12" s="397" t="s">
        <v>131</v>
      </c>
      <c r="H12" s="397"/>
      <c r="I12" s="398" t="s">
        <v>132</v>
      </c>
      <c r="J12" s="397" t="s">
        <v>6</v>
      </c>
      <c r="K12" s="398" t="s">
        <v>133</v>
      </c>
      <c r="L12" s="398" t="s">
        <v>130</v>
      </c>
      <c r="M12" s="397" t="s">
        <v>131</v>
      </c>
      <c r="N12" s="397"/>
      <c r="O12" s="398" t="s">
        <v>132</v>
      </c>
      <c r="P12" s="397"/>
    </row>
    <row r="13" spans="1:16" s="122" customFormat="1" ht="47.25" customHeight="1">
      <c r="A13" s="412"/>
      <c r="B13" s="414"/>
      <c r="C13" s="375"/>
      <c r="D13" s="415"/>
      <c r="E13" s="397"/>
      <c r="F13" s="399"/>
      <c r="G13" s="397" t="s">
        <v>134</v>
      </c>
      <c r="H13" s="397" t="s">
        <v>135</v>
      </c>
      <c r="I13" s="399"/>
      <c r="J13" s="397"/>
      <c r="K13" s="399"/>
      <c r="L13" s="399"/>
      <c r="M13" s="397" t="s">
        <v>134</v>
      </c>
      <c r="N13" s="397" t="s">
        <v>135</v>
      </c>
      <c r="O13" s="399"/>
      <c r="P13" s="397"/>
    </row>
    <row r="14" spans="1:16" s="122" customFormat="1" ht="67.5" customHeight="1">
      <c r="A14" s="413"/>
      <c r="B14" s="414"/>
      <c r="C14" s="375"/>
      <c r="D14" s="415"/>
      <c r="E14" s="397"/>
      <c r="F14" s="400"/>
      <c r="G14" s="397"/>
      <c r="H14" s="397"/>
      <c r="I14" s="400"/>
      <c r="J14" s="397"/>
      <c r="K14" s="400"/>
      <c r="L14" s="400"/>
      <c r="M14" s="397"/>
      <c r="N14" s="397"/>
      <c r="O14" s="400"/>
      <c r="P14" s="397"/>
    </row>
    <row r="15" spans="1:16" s="209" customFormat="1" ht="15.75">
      <c r="A15" s="206">
        <v>1</v>
      </c>
      <c r="B15" s="207">
        <v>2</v>
      </c>
      <c r="C15" s="207" t="s">
        <v>136</v>
      </c>
      <c r="D15" s="208">
        <v>4</v>
      </c>
      <c r="E15" s="208">
        <v>5</v>
      </c>
      <c r="F15" s="208">
        <v>6</v>
      </c>
      <c r="G15" s="208">
        <v>7</v>
      </c>
      <c r="H15" s="208">
        <v>8</v>
      </c>
      <c r="I15" s="208">
        <v>9</v>
      </c>
      <c r="J15" s="208">
        <v>10</v>
      </c>
      <c r="K15" s="208">
        <v>11</v>
      </c>
      <c r="L15" s="208">
        <v>12</v>
      </c>
      <c r="M15" s="208">
        <v>13</v>
      </c>
      <c r="N15" s="208">
        <v>14</v>
      </c>
      <c r="O15" s="208">
        <v>15</v>
      </c>
      <c r="P15" s="208">
        <v>16</v>
      </c>
    </row>
    <row r="16" spans="1:16" s="123" customFormat="1" ht="25.5" customHeight="1">
      <c r="A16" s="139" t="s">
        <v>137</v>
      </c>
      <c r="B16" s="139"/>
      <c r="C16" s="139"/>
      <c r="D16" s="140" t="s">
        <v>138</v>
      </c>
      <c r="E16" s="141">
        <f>E17</f>
        <v>71035018.49000001</v>
      </c>
      <c r="F16" s="141">
        <f aca="true" t="shared" si="0" ref="F16:P16">F17</f>
        <v>50182173.839999996</v>
      </c>
      <c r="G16" s="141">
        <f t="shared" si="0"/>
        <v>21646713.92</v>
      </c>
      <c r="H16" s="141">
        <f t="shared" si="0"/>
        <v>1255000</v>
      </c>
      <c r="I16" s="141">
        <f t="shared" si="0"/>
        <v>20852844.65</v>
      </c>
      <c r="J16" s="141">
        <f t="shared" si="0"/>
        <v>15255739.89</v>
      </c>
      <c r="K16" s="141">
        <f t="shared" si="0"/>
        <v>14650731.6</v>
      </c>
      <c r="L16" s="141">
        <f t="shared" si="0"/>
        <v>169550</v>
      </c>
      <c r="M16" s="141">
        <f t="shared" si="0"/>
        <v>0</v>
      </c>
      <c r="N16" s="141">
        <f t="shared" si="0"/>
        <v>0</v>
      </c>
      <c r="O16" s="141">
        <f t="shared" si="0"/>
        <v>15086189.89</v>
      </c>
      <c r="P16" s="141">
        <f t="shared" si="0"/>
        <v>86290758.38000001</v>
      </c>
    </row>
    <row r="17" spans="1:16" s="124" customFormat="1" ht="25.5" customHeight="1">
      <c r="A17" s="142" t="s">
        <v>139</v>
      </c>
      <c r="B17" s="142"/>
      <c r="C17" s="142"/>
      <c r="D17" s="143" t="s">
        <v>138</v>
      </c>
      <c r="E17" s="144">
        <f>E18+E21+E26+E34+E38+E51</f>
        <v>71035018.49000001</v>
      </c>
      <c r="F17" s="144">
        <f aca="true" t="shared" si="1" ref="F17:P17">F18+F21+F26+F34+F38+F51</f>
        <v>50182173.839999996</v>
      </c>
      <c r="G17" s="144">
        <f t="shared" si="1"/>
        <v>21646713.92</v>
      </c>
      <c r="H17" s="144">
        <f t="shared" si="1"/>
        <v>1255000</v>
      </c>
      <c r="I17" s="144">
        <f t="shared" si="1"/>
        <v>20852844.65</v>
      </c>
      <c r="J17" s="144">
        <f t="shared" si="1"/>
        <v>15255739.89</v>
      </c>
      <c r="K17" s="144">
        <f t="shared" si="1"/>
        <v>14650731.6</v>
      </c>
      <c r="L17" s="144">
        <f t="shared" si="1"/>
        <v>169550</v>
      </c>
      <c r="M17" s="144">
        <f t="shared" si="1"/>
        <v>0</v>
      </c>
      <c r="N17" s="144">
        <f t="shared" si="1"/>
        <v>0</v>
      </c>
      <c r="O17" s="144">
        <f t="shared" si="1"/>
        <v>15086189.89</v>
      </c>
      <c r="P17" s="144">
        <f t="shared" si="1"/>
        <v>86290758.38000001</v>
      </c>
    </row>
    <row r="18" spans="1:16" s="124" customFormat="1" ht="25.5" customHeight="1">
      <c r="A18" s="195"/>
      <c r="B18" s="195" t="s">
        <v>382</v>
      </c>
      <c r="C18" s="195"/>
      <c r="D18" s="196" t="s">
        <v>383</v>
      </c>
      <c r="E18" s="197">
        <f>SUM(E19:E20)</f>
        <v>27780175.939999998</v>
      </c>
      <c r="F18" s="197">
        <f aca="true" t="shared" si="2" ref="F18:P18">SUM(F19:F20)</f>
        <v>27780175.939999998</v>
      </c>
      <c r="G18" s="197">
        <f t="shared" si="2"/>
        <v>20173191.92</v>
      </c>
      <c r="H18" s="197">
        <f t="shared" si="2"/>
        <v>1239000</v>
      </c>
      <c r="I18" s="197">
        <f t="shared" si="2"/>
        <v>0</v>
      </c>
      <c r="J18" s="197">
        <f t="shared" si="2"/>
        <v>604000</v>
      </c>
      <c r="K18" s="197">
        <f t="shared" si="2"/>
        <v>594000</v>
      </c>
      <c r="L18" s="197">
        <f t="shared" si="2"/>
        <v>10000</v>
      </c>
      <c r="M18" s="197">
        <f t="shared" si="2"/>
        <v>0</v>
      </c>
      <c r="N18" s="197">
        <f t="shared" si="2"/>
        <v>0</v>
      </c>
      <c r="O18" s="197">
        <f t="shared" si="2"/>
        <v>594000</v>
      </c>
      <c r="P18" s="197">
        <f t="shared" si="2"/>
        <v>28384175.939999998</v>
      </c>
    </row>
    <row r="19" spans="1:16" s="125" customFormat="1" ht="78.75" customHeight="1">
      <c r="A19" s="31" t="s">
        <v>140</v>
      </c>
      <c r="B19" s="31" t="s">
        <v>141</v>
      </c>
      <c r="C19" s="31" t="s">
        <v>142</v>
      </c>
      <c r="D19" s="83" t="s">
        <v>143</v>
      </c>
      <c r="E19" s="145">
        <f>F19+I19</f>
        <v>27121648.36</v>
      </c>
      <c r="F19" s="146">
        <f>27121648.36</f>
        <v>27121648.36</v>
      </c>
      <c r="G19" s="146">
        <v>20173191.92</v>
      </c>
      <c r="H19" s="146">
        <v>1239000</v>
      </c>
      <c r="I19" s="146"/>
      <c r="J19" s="145">
        <f>L19+O19</f>
        <v>604000</v>
      </c>
      <c r="K19" s="146">
        <f>594000</f>
        <v>594000</v>
      </c>
      <c r="L19" s="146">
        <v>10000</v>
      </c>
      <c r="M19" s="146"/>
      <c r="N19" s="146"/>
      <c r="O19" s="146">
        <v>594000</v>
      </c>
      <c r="P19" s="156">
        <f aca="true" t="shared" si="3" ref="P19:P55">J19+E19</f>
        <v>27725648.36</v>
      </c>
    </row>
    <row r="20" spans="1:16" s="125" customFormat="1" ht="27" customHeight="1">
      <c r="A20" s="31" t="s">
        <v>144</v>
      </c>
      <c r="B20" s="31" t="s">
        <v>145</v>
      </c>
      <c r="C20" s="31" t="s">
        <v>146</v>
      </c>
      <c r="D20" s="40" t="s">
        <v>147</v>
      </c>
      <c r="E20" s="145">
        <f aca="true" t="shared" si="4" ref="E20:E55">F20+I20</f>
        <v>658527.58</v>
      </c>
      <c r="F20" s="146">
        <f>582327.58+76200</f>
        <v>658527.58</v>
      </c>
      <c r="G20" s="146"/>
      <c r="H20" s="146"/>
      <c r="I20" s="146"/>
      <c r="J20" s="145">
        <f aca="true" t="shared" si="5" ref="J20:J55">L20+O20</f>
        <v>0</v>
      </c>
      <c r="K20" s="146"/>
      <c r="L20" s="146"/>
      <c r="M20" s="146"/>
      <c r="N20" s="146"/>
      <c r="O20" s="146"/>
      <c r="P20" s="156">
        <f t="shared" si="3"/>
        <v>658527.58</v>
      </c>
    </row>
    <row r="21" spans="1:16" s="201" customFormat="1" ht="27" customHeight="1">
      <c r="A21" s="198"/>
      <c r="B21" s="198" t="s">
        <v>384</v>
      </c>
      <c r="C21" s="198"/>
      <c r="D21" s="199" t="s">
        <v>385</v>
      </c>
      <c r="E21" s="200">
        <f>SUM(E22:E25)</f>
        <v>8660230</v>
      </c>
      <c r="F21" s="200">
        <f aca="true" t="shared" si="6" ref="F21:P21">SUM(F22:F25)</f>
        <v>8660230</v>
      </c>
      <c r="G21" s="200">
        <f t="shared" si="6"/>
        <v>0</v>
      </c>
      <c r="H21" s="200">
        <f t="shared" si="6"/>
        <v>0</v>
      </c>
      <c r="I21" s="200">
        <f t="shared" si="6"/>
        <v>0</v>
      </c>
      <c r="J21" s="200">
        <f t="shared" si="6"/>
        <v>0</v>
      </c>
      <c r="K21" s="200">
        <f t="shared" si="6"/>
        <v>0</v>
      </c>
      <c r="L21" s="200">
        <f t="shared" si="6"/>
        <v>0</v>
      </c>
      <c r="M21" s="200">
        <f t="shared" si="6"/>
        <v>0</v>
      </c>
      <c r="N21" s="200">
        <f t="shared" si="6"/>
        <v>0</v>
      </c>
      <c r="O21" s="200">
        <f t="shared" si="6"/>
        <v>0</v>
      </c>
      <c r="P21" s="200">
        <f t="shared" si="6"/>
        <v>8660230</v>
      </c>
    </row>
    <row r="22" spans="1:16" s="125" customFormat="1" ht="43.5" customHeight="1">
      <c r="A22" s="31" t="s">
        <v>148</v>
      </c>
      <c r="B22" s="31" t="s">
        <v>149</v>
      </c>
      <c r="C22" s="31" t="s">
        <v>150</v>
      </c>
      <c r="D22" s="83" t="s">
        <v>151</v>
      </c>
      <c r="E22" s="145">
        <f t="shared" si="4"/>
        <v>5576430</v>
      </c>
      <c r="F22" s="146">
        <v>5576430</v>
      </c>
      <c r="G22" s="146"/>
      <c r="H22" s="146"/>
      <c r="I22" s="146"/>
      <c r="J22" s="145">
        <f t="shared" si="5"/>
        <v>0</v>
      </c>
      <c r="K22" s="146">
        <f>763597-763597</f>
        <v>0</v>
      </c>
      <c r="L22" s="146">
        <f>32542.6-32542.6</f>
        <v>0</v>
      </c>
      <c r="M22" s="146"/>
      <c r="N22" s="146"/>
      <c r="O22" s="146">
        <f>763597-763597</f>
        <v>0</v>
      </c>
      <c r="P22" s="156">
        <f t="shared" si="3"/>
        <v>5576430</v>
      </c>
    </row>
    <row r="23" spans="1:16" s="125" customFormat="1" ht="51.75" customHeight="1">
      <c r="A23" s="31" t="s">
        <v>152</v>
      </c>
      <c r="B23" s="31" t="s">
        <v>153</v>
      </c>
      <c r="C23" s="31" t="s">
        <v>154</v>
      </c>
      <c r="D23" s="40" t="s">
        <v>155</v>
      </c>
      <c r="E23" s="145">
        <f t="shared" si="4"/>
        <v>1631700</v>
      </c>
      <c r="F23" s="146">
        <f>1574000+20000+37700</f>
        <v>1631700</v>
      </c>
      <c r="G23" s="146"/>
      <c r="H23" s="146"/>
      <c r="I23" s="146"/>
      <c r="J23" s="145">
        <f t="shared" si="5"/>
        <v>0</v>
      </c>
      <c r="K23" s="146"/>
      <c r="L23" s="146">
        <f>544.2-544.2</f>
        <v>0</v>
      </c>
      <c r="M23" s="146"/>
      <c r="N23" s="146"/>
      <c r="O23" s="146"/>
      <c r="P23" s="156">
        <f t="shared" si="3"/>
        <v>1631700</v>
      </c>
    </row>
    <row r="24" spans="1:16" s="125" customFormat="1" ht="35.25" customHeight="1">
      <c r="A24" s="31" t="s">
        <v>156</v>
      </c>
      <c r="B24" s="31" t="s">
        <v>157</v>
      </c>
      <c r="C24" s="31" t="s">
        <v>158</v>
      </c>
      <c r="D24" s="40" t="s">
        <v>159</v>
      </c>
      <c r="E24" s="145">
        <f t="shared" si="4"/>
        <v>1402100</v>
      </c>
      <c r="F24" s="146">
        <f>1352100+50000</f>
        <v>1402100</v>
      </c>
      <c r="G24" s="146"/>
      <c r="H24" s="146"/>
      <c r="I24" s="146"/>
      <c r="J24" s="145">
        <f t="shared" si="5"/>
        <v>0</v>
      </c>
      <c r="K24" s="146"/>
      <c r="L24" s="146"/>
      <c r="M24" s="146"/>
      <c r="N24" s="146"/>
      <c r="O24" s="146"/>
      <c r="P24" s="156">
        <f t="shared" si="3"/>
        <v>1402100</v>
      </c>
    </row>
    <row r="25" spans="1:16" s="125" customFormat="1" ht="35.25" customHeight="1">
      <c r="A25" s="31" t="s">
        <v>386</v>
      </c>
      <c r="B25" s="31" t="s">
        <v>388</v>
      </c>
      <c r="C25" s="31" t="s">
        <v>158</v>
      </c>
      <c r="D25" s="40" t="s">
        <v>387</v>
      </c>
      <c r="E25" s="145">
        <f>F25+I25</f>
        <v>50000</v>
      </c>
      <c r="F25" s="146">
        <v>50000</v>
      </c>
      <c r="G25" s="146"/>
      <c r="H25" s="146"/>
      <c r="I25" s="146"/>
      <c r="J25" s="145">
        <f>L25+O25</f>
        <v>0</v>
      </c>
      <c r="K25" s="146"/>
      <c r="L25" s="146"/>
      <c r="M25" s="146"/>
      <c r="N25" s="146"/>
      <c r="O25" s="146"/>
      <c r="P25" s="156">
        <f>J25+E25</f>
        <v>50000</v>
      </c>
    </row>
    <row r="26" spans="1:16" s="201" customFormat="1" ht="35.25" customHeight="1">
      <c r="A26" s="198"/>
      <c r="B26" s="198" t="s">
        <v>389</v>
      </c>
      <c r="C26" s="198"/>
      <c r="D26" s="199" t="s">
        <v>390</v>
      </c>
      <c r="E26" s="200">
        <f>SUM(E27:E33)</f>
        <v>12767149</v>
      </c>
      <c r="F26" s="200">
        <f aca="true" t="shared" si="7" ref="F26:P26">SUM(F27:F33)</f>
        <v>12767149</v>
      </c>
      <c r="G26" s="200">
        <f t="shared" si="7"/>
        <v>1473522</v>
      </c>
      <c r="H26" s="200">
        <f t="shared" si="7"/>
        <v>16000</v>
      </c>
      <c r="I26" s="200">
        <f t="shared" si="7"/>
        <v>0</v>
      </c>
      <c r="J26" s="200">
        <f t="shared" si="7"/>
        <v>0</v>
      </c>
      <c r="K26" s="200">
        <f t="shared" si="7"/>
        <v>0</v>
      </c>
      <c r="L26" s="200">
        <f t="shared" si="7"/>
        <v>0</v>
      </c>
      <c r="M26" s="200">
        <f t="shared" si="7"/>
        <v>0</v>
      </c>
      <c r="N26" s="200">
        <f t="shared" si="7"/>
        <v>0</v>
      </c>
      <c r="O26" s="200">
        <f t="shared" si="7"/>
        <v>0</v>
      </c>
      <c r="P26" s="200">
        <f t="shared" si="7"/>
        <v>12767149</v>
      </c>
    </row>
    <row r="27" spans="1:16" s="125" customFormat="1" ht="42.75" customHeight="1">
      <c r="A27" s="31" t="s">
        <v>391</v>
      </c>
      <c r="B27" s="31" t="s">
        <v>392</v>
      </c>
      <c r="C27" s="31" t="s">
        <v>162</v>
      </c>
      <c r="D27" s="83" t="s">
        <v>393</v>
      </c>
      <c r="E27" s="145">
        <f>F27+I27</f>
        <v>3300</v>
      </c>
      <c r="F27" s="146">
        <v>3300</v>
      </c>
      <c r="G27" s="146"/>
      <c r="H27" s="146"/>
      <c r="I27" s="146"/>
      <c r="J27" s="145">
        <f>L27+O27</f>
        <v>0</v>
      </c>
      <c r="K27" s="146"/>
      <c r="L27" s="146"/>
      <c r="M27" s="146"/>
      <c r="N27" s="146"/>
      <c r="O27" s="146"/>
      <c r="P27" s="156">
        <f>J27+E27</f>
        <v>3300</v>
      </c>
    </row>
    <row r="28" spans="1:16" s="125" customFormat="1" ht="42.75" customHeight="1">
      <c r="A28" s="31" t="s">
        <v>160</v>
      </c>
      <c r="B28" s="31" t="s">
        <v>161</v>
      </c>
      <c r="C28" s="31" t="s">
        <v>162</v>
      </c>
      <c r="D28" s="83" t="s">
        <v>163</v>
      </c>
      <c r="E28" s="145">
        <f t="shared" si="4"/>
        <v>800000</v>
      </c>
      <c r="F28" s="146">
        <v>800000</v>
      </c>
      <c r="G28" s="146"/>
      <c r="H28" s="146"/>
      <c r="I28" s="146"/>
      <c r="J28" s="145">
        <f t="shared" si="5"/>
        <v>0</v>
      </c>
      <c r="K28" s="146"/>
      <c r="L28" s="146"/>
      <c r="M28" s="146"/>
      <c r="N28" s="146"/>
      <c r="O28" s="146"/>
      <c r="P28" s="156">
        <f t="shared" si="3"/>
        <v>800000</v>
      </c>
    </row>
    <row r="29" spans="1:16" s="125" customFormat="1" ht="33" customHeight="1">
      <c r="A29" s="31" t="s">
        <v>164</v>
      </c>
      <c r="B29" s="31" t="s">
        <v>165</v>
      </c>
      <c r="C29" s="31" t="s">
        <v>166</v>
      </c>
      <c r="D29" s="40" t="s">
        <v>167</v>
      </c>
      <c r="E29" s="145">
        <f t="shared" si="4"/>
        <v>1856607</v>
      </c>
      <c r="F29" s="146">
        <f>1851607+5000</f>
        <v>1856607</v>
      </c>
      <c r="G29" s="146">
        <v>1473522</v>
      </c>
      <c r="H29" s="146">
        <v>16000</v>
      </c>
      <c r="I29" s="146"/>
      <c r="J29" s="145">
        <f t="shared" si="5"/>
        <v>0</v>
      </c>
      <c r="K29" s="146"/>
      <c r="L29" s="146"/>
      <c r="M29" s="146"/>
      <c r="N29" s="146"/>
      <c r="O29" s="146"/>
      <c r="P29" s="156">
        <f t="shared" si="3"/>
        <v>1856607</v>
      </c>
    </row>
    <row r="30" spans="1:16" s="125" customFormat="1" ht="93" customHeight="1">
      <c r="A30" s="31" t="s">
        <v>394</v>
      </c>
      <c r="B30" s="31" t="s">
        <v>395</v>
      </c>
      <c r="C30" s="31" t="s">
        <v>166</v>
      </c>
      <c r="D30" s="40" t="s">
        <v>396</v>
      </c>
      <c r="E30" s="145">
        <f>F30+I30</f>
        <v>192000</v>
      </c>
      <c r="F30" s="146">
        <v>192000</v>
      </c>
      <c r="G30" s="146"/>
      <c r="H30" s="146"/>
      <c r="I30" s="146"/>
      <c r="J30" s="145">
        <f>L30+O30</f>
        <v>0</v>
      </c>
      <c r="K30" s="146"/>
      <c r="L30" s="146"/>
      <c r="M30" s="146"/>
      <c r="N30" s="146"/>
      <c r="O30" s="146"/>
      <c r="P30" s="156">
        <f>J30+E30</f>
        <v>192000</v>
      </c>
    </row>
    <row r="31" spans="1:16" s="125" customFormat="1" ht="93" customHeight="1">
      <c r="A31" s="31" t="s">
        <v>397</v>
      </c>
      <c r="B31" s="31" t="s">
        <v>398</v>
      </c>
      <c r="C31" s="31" t="s">
        <v>218</v>
      </c>
      <c r="D31" s="40" t="s">
        <v>399</v>
      </c>
      <c r="E31" s="145">
        <f>F31+I31</f>
        <v>128000</v>
      </c>
      <c r="F31" s="146">
        <v>128000</v>
      </c>
      <c r="G31" s="146"/>
      <c r="H31" s="146"/>
      <c r="I31" s="146"/>
      <c r="J31" s="145">
        <f>L31+O31</f>
        <v>0</v>
      </c>
      <c r="K31" s="146"/>
      <c r="L31" s="146"/>
      <c r="M31" s="146"/>
      <c r="N31" s="146"/>
      <c r="O31" s="146"/>
      <c r="P31" s="156">
        <f>J31+E31</f>
        <v>128000</v>
      </c>
    </row>
    <row r="32" spans="1:16" s="125" customFormat="1" ht="42.75" customHeight="1">
      <c r="A32" s="31" t="s">
        <v>168</v>
      </c>
      <c r="B32" s="31" t="s">
        <v>169</v>
      </c>
      <c r="C32" s="31" t="s">
        <v>170</v>
      </c>
      <c r="D32" s="147" t="s">
        <v>171</v>
      </c>
      <c r="E32" s="145">
        <f t="shared" si="4"/>
        <v>8569242</v>
      </c>
      <c r="F32" s="146">
        <v>8569242</v>
      </c>
      <c r="G32" s="146"/>
      <c r="H32" s="146"/>
      <c r="I32" s="146"/>
      <c r="J32" s="145">
        <f t="shared" si="5"/>
        <v>0</v>
      </c>
      <c r="K32" s="146"/>
      <c r="L32" s="146"/>
      <c r="M32" s="146"/>
      <c r="N32" s="146"/>
      <c r="O32" s="146"/>
      <c r="P32" s="156">
        <f t="shared" si="3"/>
        <v>8569242</v>
      </c>
    </row>
    <row r="33" spans="1:16" s="125" customFormat="1" ht="42.75" customHeight="1">
      <c r="A33" s="31" t="s">
        <v>172</v>
      </c>
      <c r="B33" s="31" t="s">
        <v>173</v>
      </c>
      <c r="C33" s="31" t="s">
        <v>170</v>
      </c>
      <c r="D33" s="147" t="s">
        <v>174</v>
      </c>
      <c r="E33" s="145">
        <f t="shared" si="4"/>
        <v>1218000</v>
      </c>
      <c r="F33" s="146">
        <v>1218000</v>
      </c>
      <c r="G33" s="146"/>
      <c r="H33" s="146"/>
      <c r="I33" s="146"/>
      <c r="J33" s="145">
        <f t="shared" si="5"/>
        <v>0</v>
      </c>
      <c r="K33" s="146"/>
      <c r="L33" s="146"/>
      <c r="M33" s="146"/>
      <c r="N33" s="146"/>
      <c r="O33" s="146"/>
      <c r="P33" s="156">
        <f t="shared" si="3"/>
        <v>1218000</v>
      </c>
    </row>
    <row r="34" spans="1:16" s="201" customFormat="1" ht="42.75" customHeight="1">
      <c r="A34" s="198"/>
      <c r="B34" s="198" t="s">
        <v>400</v>
      </c>
      <c r="C34" s="198"/>
      <c r="D34" s="199" t="s">
        <v>401</v>
      </c>
      <c r="E34" s="200">
        <f>SUM(E35:E37)</f>
        <v>19574400</v>
      </c>
      <c r="F34" s="200">
        <f aca="true" t="shared" si="8" ref="F34:P34">SUM(F35:F37)</f>
        <v>0</v>
      </c>
      <c r="G34" s="200">
        <f t="shared" si="8"/>
        <v>0</v>
      </c>
      <c r="H34" s="200">
        <f t="shared" si="8"/>
        <v>0</v>
      </c>
      <c r="I34" s="200">
        <f t="shared" si="8"/>
        <v>19574400</v>
      </c>
      <c r="J34" s="200">
        <f t="shared" si="8"/>
        <v>1345320</v>
      </c>
      <c r="K34" s="200">
        <f t="shared" si="8"/>
        <v>1345320</v>
      </c>
      <c r="L34" s="200">
        <f t="shared" si="8"/>
        <v>0</v>
      </c>
      <c r="M34" s="200">
        <f t="shared" si="8"/>
        <v>0</v>
      </c>
      <c r="N34" s="200">
        <f t="shared" si="8"/>
        <v>0</v>
      </c>
      <c r="O34" s="200">
        <f t="shared" si="8"/>
        <v>1345320</v>
      </c>
      <c r="P34" s="200">
        <f t="shared" si="8"/>
        <v>20919720</v>
      </c>
    </row>
    <row r="35" spans="1:16" s="125" customFormat="1" ht="33" customHeight="1">
      <c r="A35" s="31" t="s">
        <v>175</v>
      </c>
      <c r="B35" s="31" t="s">
        <v>176</v>
      </c>
      <c r="C35" s="31" t="s">
        <v>177</v>
      </c>
      <c r="D35" s="83" t="s">
        <v>178</v>
      </c>
      <c r="E35" s="145">
        <f t="shared" si="4"/>
        <v>2217300</v>
      </c>
      <c r="F35" s="146"/>
      <c r="G35" s="146"/>
      <c r="H35" s="146"/>
      <c r="I35" s="146">
        <f>1830000+387300</f>
        <v>2217300</v>
      </c>
      <c r="J35" s="145">
        <f t="shared" si="5"/>
        <v>0</v>
      </c>
      <c r="K35" s="146"/>
      <c r="L35" s="146"/>
      <c r="M35" s="146"/>
      <c r="N35" s="146"/>
      <c r="O35" s="146"/>
      <c r="P35" s="156">
        <f t="shared" si="3"/>
        <v>2217300</v>
      </c>
    </row>
    <row r="36" spans="1:16" s="125" customFormat="1" ht="24.75" customHeight="1">
      <c r="A36" s="31" t="s">
        <v>179</v>
      </c>
      <c r="B36" s="31" t="s">
        <v>180</v>
      </c>
      <c r="C36" s="31" t="s">
        <v>177</v>
      </c>
      <c r="D36" s="83" t="s">
        <v>181</v>
      </c>
      <c r="E36" s="145">
        <f t="shared" si="4"/>
        <v>17357100</v>
      </c>
      <c r="F36" s="146"/>
      <c r="G36" s="146"/>
      <c r="H36" s="146"/>
      <c r="I36" s="146">
        <f>13680400+2536400+1140300</f>
        <v>17357100</v>
      </c>
      <c r="J36" s="145">
        <f t="shared" si="5"/>
        <v>1045320</v>
      </c>
      <c r="K36" s="146">
        <v>1045320</v>
      </c>
      <c r="L36" s="146"/>
      <c r="M36" s="146"/>
      <c r="N36" s="146"/>
      <c r="O36" s="146">
        <f>1243320-48000-150000</f>
        <v>1045320</v>
      </c>
      <c r="P36" s="156">
        <f t="shared" si="3"/>
        <v>18402420</v>
      </c>
    </row>
    <row r="37" spans="1:16" s="125" customFormat="1" ht="48" customHeight="1">
      <c r="A37" s="31" t="s">
        <v>182</v>
      </c>
      <c r="B37" s="31" t="s">
        <v>183</v>
      </c>
      <c r="C37" s="31" t="s">
        <v>184</v>
      </c>
      <c r="D37" s="83" t="s">
        <v>185</v>
      </c>
      <c r="E37" s="145">
        <f t="shared" si="4"/>
        <v>0</v>
      </c>
      <c r="F37" s="146"/>
      <c r="G37" s="146"/>
      <c r="H37" s="146"/>
      <c r="I37" s="146"/>
      <c r="J37" s="145">
        <f t="shared" si="5"/>
        <v>300000</v>
      </c>
      <c r="K37" s="146">
        <v>300000</v>
      </c>
      <c r="L37" s="146"/>
      <c r="M37" s="146"/>
      <c r="N37" s="146"/>
      <c r="O37" s="146">
        <v>300000</v>
      </c>
      <c r="P37" s="156">
        <f t="shared" si="3"/>
        <v>300000</v>
      </c>
    </row>
    <row r="38" spans="1:16" s="201" customFormat="1" ht="33.75" customHeight="1">
      <c r="A38" s="198"/>
      <c r="B38" s="198" t="s">
        <v>402</v>
      </c>
      <c r="C38" s="198"/>
      <c r="D38" s="202" t="s">
        <v>403</v>
      </c>
      <c r="E38" s="200">
        <f>SUM(E39:E50)</f>
        <v>1708444.65</v>
      </c>
      <c r="F38" s="200">
        <f aca="true" t="shared" si="9" ref="F38:P38">SUM(F39:F50)</f>
        <v>430000</v>
      </c>
      <c r="G38" s="200">
        <f t="shared" si="9"/>
        <v>0</v>
      </c>
      <c r="H38" s="200">
        <f t="shared" si="9"/>
        <v>0</v>
      </c>
      <c r="I38" s="200">
        <f t="shared" si="9"/>
        <v>1278444.65</v>
      </c>
      <c r="J38" s="200">
        <f t="shared" si="9"/>
        <v>13010819.89</v>
      </c>
      <c r="K38" s="200">
        <f t="shared" si="9"/>
        <v>12711411.6</v>
      </c>
      <c r="L38" s="200">
        <f t="shared" si="9"/>
        <v>1350</v>
      </c>
      <c r="M38" s="200">
        <f t="shared" si="9"/>
        <v>0</v>
      </c>
      <c r="N38" s="200">
        <f t="shared" si="9"/>
        <v>0</v>
      </c>
      <c r="O38" s="200">
        <f t="shared" si="9"/>
        <v>13009469.89</v>
      </c>
      <c r="P38" s="200">
        <f t="shared" si="9"/>
        <v>14719264.540000001</v>
      </c>
    </row>
    <row r="39" spans="1:16" s="125" customFormat="1" ht="26.25" customHeight="1">
      <c r="A39" s="31" t="s">
        <v>186</v>
      </c>
      <c r="B39" s="31" t="s">
        <v>187</v>
      </c>
      <c r="C39" s="31" t="s">
        <v>188</v>
      </c>
      <c r="D39" s="83" t="s">
        <v>189</v>
      </c>
      <c r="E39" s="145">
        <f t="shared" si="4"/>
        <v>120000</v>
      </c>
      <c r="F39" s="146">
        <v>120000</v>
      </c>
      <c r="G39" s="146"/>
      <c r="H39" s="146"/>
      <c r="I39" s="146"/>
      <c r="J39" s="145">
        <f t="shared" si="5"/>
        <v>0</v>
      </c>
      <c r="K39" s="146"/>
      <c r="L39" s="146">
        <f>1350-1350</f>
        <v>0</v>
      </c>
      <c r="M39" s="146"/>
      <c r="N39" s="146"/>
      <c r="O39" s="146"/>
      <c r="P39" s="156">
        <f t="shared" si="3"/>
        <v>120000</v>
      </c>
    </row>
    <row r="40" spans="1:16" s="125" customFormat="1" ht="26.25" customHeight="1">
      <c r="A40" s="31" t="s">
        <v>353</v>
      </c>
      <c r="B40" s="31" t="s">
        <v>354</v>
      </c>
      <c r="C40" s="31" t="s">
        <v>355</v>
      </c>
      <c r="D40" s="83" t="s">
        <v>356</v>
      </c>
      <c r="E40" s="145"/>
      <c r="F40" s="146"/>
      <c r="G40" s="146"/>
      <c r="H40" s="146"/>
      <c r="I40" s="146"/>
      <c r="J40" s="145">
        <f t="shared" si="5"/>
        <v>1250000</v>
      </c>
      <c r="K40" s="146">
        <v>1250000</v>
      </c>
      <c r="L40" s="146"/>
      <c r="M40" s="146"/>
      <c r="N40" s="146"/>
      <c r="O40" s="146">
        <v>1250000</v>
      </c>
      <c r="P40" s="156">
        <f t="shared" si="3"/>
        <v>1250000</v>
      </c>
    </row>
    <row r="41" spans="1:16" s="125" customFormat="1" ht="54.75" customHeight="1">
      <c r="A41" s="31" t="s">
        <v>404</v>
      </c>
      <c r="B41" s="31" t="s">
        <v>405</v>
      </c>
      <c r="C41" s="31" t="s">
        <v>199</v>
      </c>
      <c r="D41" s="83" t="s">
        <v>406</v>
      </c>
      <c r="E41" s="145"/>
      <c r="F41" s="146"/>
      <c r="G41" s="146"/>
      <c r="H41" s="146"/>
      <c r="I41" s="146"/>
      <c r="J41" s="145">
        <f>L41+O41</f>
        <v>2589341.6</v>
      </c>
      <c r="K41" s="146">
        <f>89744.6+763597+1736000</f>
        <v>2589341.6</v>
      </c>
      <c r="L41" s="146"/>
      <c r="M41" s="146"/>
      <c r="N41" s="146"/>
      <c r="O41" s="146">
        <f>89744.6+763597+1736000</f>
        <v>2589341.6</v>
      </c>
      <c r="P41" s="156">
        <f>J41+E41</f>
        <v>2589341.6</v>
      </c>
    </row>
    <row r="42" spans="1:16" s="125" customFormat="1" ht="68.25" customHeight="1">
      <c r="A42" s="31" t="s">
        <v>407</v>
      </c>
      <c r="B42" s="31" t="s">
        <v>408</v>
      </c>
      <c r="C42" s="31" t="s">
        <v>199</v>
      </c>
      <c r="D42" s="83" t="s">
        <v>409</v>
      </c>
      <c r="E42" s="145"/>
      <c r="F42" s="146"/>
      <c r="G42" s="146"/>
      <c r="H42" s="146"/>
      <c r="I42" s="146"/>
      <c r="J42" s="145">
        <f>L42+O42</f>
        <v>3533140</v>
      </c>
      <c r="K42" s="146">
        <v>3533140</v>
      </c>
      <c r="L42" s="146"/>
      <c r="M42" s="146"/>
      <c r="N42" s="146"/>
      <c r="O42" s="146">
        <v>3533140</v>
      </c>
      <c r="P42" s="156">
        <f>J42+E42</f>
        <v>3533140</v>
      </c>
    </row>
    <row r="43" spans="1:16" s="125" customFormat="1" ht="35.25" customHeight="1">
      <c r="A43" s="31" t="s">
        <v>190</v>
      </c>
      <c r="B43" s="31" t="s">
        <v>191</v>
      </c>
      <c r="C43" s="31" t="s">
        <v>192</v>
      </c>
      <c r="D43" s="40" t="s">
        <v>193</v>
      </c>
      <c r="E43" s="145">
        <f t="shared" si="4"/>
        <v>1100800</v>
      </c>
      <c r="F43" s="146"/>
      <c r="G43" s="146"/>
      <c r="H43" s="146"/>
      <c r="I43" s="146">
        <f>986800+114000</f>
        <v>1100800</v>
      </c>
      <c r="J43" s="145">
        <f t="shared" si="5"/>
        <v>351571.49</v>
      </c>
      <c r="K43" s="146">
        <v>333600</v>
      </c>
      <c r="L43" s="146"/>
      <c r="M43" s="146"/>
      <c r="N43" s="146"/>
      <c r="O43" s="146">
        <f>400571.49-49000</f>
        <v>351571.49</v>
      </c>
      <c r="P43" s="156">
        <f t="shared" si="3"/>
        <v>1452371.49</v>
      </c>
    </row>
    <row r="44" spans="1:16" s="125" customFormat="1" ht="59.25" customHeight="1">
      <c r="A44" s="31" t="s">
        <v>410</v>
      </c>
      <c r="B44" s="31" t="s">
        <v>411</v>
      </c>
      <c r="C44" s="31" t="s">
        <v>192</v>
      </c>
      <c r="D44" s="40" t="s">
        <v>412</v>
      </c>
      <c r="E44" s="145">
        <f>F44+I44</f>
        <v>0</v>
      </c>
      <c r="F44" s="146"/>
      <c r="G44" s="146"/>
      <c r="H44" s="146"/>
      <c r="I44" s="146"/>
      <c r="J44" s="145">
        <f>L44+O44</f>
        <v>5000000</v>
      </c>
      <c r="K44" s="146">
        <v>5000000</v>
      </c>
      <c r="L44" s="146"/>
      <c r="M44" s="146"/>
      <c r="N44" s="146"/>
      <c r="O44" s="146">
        <v>5000000</v>
      </c>
      <c r="P44" s="156">
        <f>J44+E44</f>
        <v>5000000</v>
      </c>
    </row>
    <row r="45" spans="1:16" s="125" customFormat="1" ht="27" customHeight="1">
      <c r="A45" s="31" t="s">
        <v>194</v>
      </c>
      <c r="B45" s="31" t="s">
        <v>195</v>
      </c>
      <c r="C45" s="31" t="s">
        <v>192</v>
      </c>
      <c r="D45" s="40" t="s">
        <v>196</v>
      </c>
      <c r="E45" s="145">
        <f t="shared" si="4"/>
        <v>30000</v>
      </c>
      <c r="F45" s="146"/>
      <c r="G45" s="146"/>
      <c r="H45" s="146"/>
      <c r="I45" s="146">
        <v>30000</v>
      </c>
      <c r="J45" s="145">
        <f t="shared" si="5"/>
        <v>0</v>
      </c>
      <c r="K45" s="146"/>
      <c r="L45" s="146"/>
      <c r="M45" s="146"/>
      <c r="N45" s="146"/>
      <c r="O45" s="146"/>
      <c r="P45" s="156">
        <f t="shared" si="3"/>
        <v>30000</v>
      </c>
    </row>
    <row r="46" spans="1:16" s="125" customFormat="1" ht="64.5" customHeight="1">
      <c r="A46" s="31" t="s">
        <v>480</v>
      </c>
      <c r="B46" s="31" t="s">
        <v>481</v>
      </c>
      <c r="C46" s="31" t="s">
        <v>483</v>
      </c>
      <c r="D46" s="40" t="s">
        <v>482</v>
      </c>
      <c r="E46" s="145">
        <f t="shared" si="4"/>
        <v>250000</v>
      </c>
      <c r="F46" s="146">
        <f>250000</f>
        <v>250000</v>
      </c>
      <c r="G46" s="146"/>
      <c r="H46" s="146"/>
      <c r="I46" s="146"/>
      <c r="J46" s="145"/>
      <c r="K46" s="146"/>
      <c r="L46" s="146"/>
      <c r="M46" s="146"/>
      <c r="N46" s="146"/>
      <c r="O46" s="146"/>
      <c r="P46" s="156">
        <f t="shared" si="3"/>
        <v>250000</v>
      </c>
    </row>
    <row r="47" spans="1:16" s="125" customFormat="1" ht="42.75" customHeight="1">
      <c r="A47" s="31" t="s">
        <v>413</v>
      </c>
      <c r="B47" s="31" t="s">
        <v>414</v>
      </c>
      <c r="C47" s="31" t="s">
        <v>199</v>
      </c>
      <c r="D47" s="40" t="s">
        <v>415</v>
      </c>
      <c r="E47" s="145">
        <f>F47+I47</f>
        <v>0</v>
      </c>
      <c r="F47" s="146"/>
      <c r="G47" s="146"/>
      <c r="H47" s="146"/>
      <c r="I47" s="146"/>
      <c r="J47" s="145">
        <f>L47+O47</f>
        <v>5330</v>
      </c>
      <c r="K47" s="146">
        <v>5330</v>
      </c>
      <c r="L47" s="146"/>
      <c r="M47" s="146"/>
      <c r="N47" s="146"/>
      <c r="O47" s="146">
        <v>5330</v>
      </c>
      <c r="P47" s="156">
        <f>J47+E47</f>
        <v>5330</v>
      </c>
    </row>
    <row r="48" spans="1:16" s="125" customFormat="1" ht="41.25" customHeight="1">
      <c r="A48" s="31" t="s">
        <v>197</v>
      </c>
      <c r="B48" s="31" t="s">
        <v>198</v>
      </c>
      <c r="C48" s="31" t="s">
        <v>199</v>
      </c>
      <c r="D48" s="83" t="s">
        <v>200</v>
      </c>
      <c r="E48" s="145">
        <f t="shared" si="4"/>
        <v>60000</v>
      </c>
      <c r="F48" s="146">
        <v>60000</v>
      </c>
      <c r="G48" s="146"/>
      <c r="H48" s="146"/>
      <c r="I48" s="146"/>
      <c r="J48" s="145">
        <f t="shared" si="5"/>
        <v>0</v>
      </c>
      <c r="K48" s="146"/>
      <c r="L48" s="146"/>
      <c r="M48" s="146"/>
      <c r="N48" s="146"/>
      <c r="O48" s="146"/>
      <c r="P48" s="156">
        <f t="shared" si="3"/>
        <v>60000</v>
      </c>
    </row>
    <row r="49" spans="1:16" s="125" customFormat="1" ht="120" customHeight="1">
      <c r="A49" s="31" t="s">
        <v>496</v>
      </c>
      <c r="B49" s="31" t="s">
        <v>497</v>
      </c>
      <c r="C49" s="31" t="s">
        <v>199</v>
      </c>
      <c r="D49" s="83" t="s">
        <v>498</v>
      </c>
      <c r="E49" s="145">
        <f t="shared" si="4"/>
        <v>0</v>
      </c>
      <c r="F49" s="146"/>
      <c r="G49" s="146"/>
      <c r="H49" s="146"/>
      <c r="I49" s="146"/>
      <c r="J49" s="145">
        <f t="shared" si="5"/>
        <v>281436.8</v>
      </c>
      <c r="K49" s="146"/>
      <c r="L49" s="146">
        <f>1350</f>
        <v>1350</v>
      </c>
      <c r="M49" s="146"/>
      <c r="N49" s="146"/>
      <c r="O49" s="146">
        <f>130086.8+150000</f>
        <v>280086.8</v>
      </c>
      <c r="P49" s="156">
        <f t="shared" si="3"/>
        <v>281436.8</v>
      </c>
    </row>
    <row r="50" spans="1:16" s="125" customFormat="1" ht="27" customHeight="1">
      <c r="A50" s="31" t="s">
        <v>201</v>
      </c>
      <c r="B50" s="31" t="s">
        <v>202</v>
      </c>
      <c r="C50" s="31" t="s">
        <v>199</v>
      </c>
      <c r="D50" s="40" t="s">
        <v>203</v>
      </c>
      <c r="E50" s="145">
        <f t="shared" si="4"/>
        <v>147644.65</v>
      </c>
      <c r="F50" s="146"/>
      <c r="G50" s="146"/>
      <c r="H50" s="146"/>
      <c r="I50" s="146">
        <v>147644.65</v>
      </c>
      <c r="J50" s="145">
        <f t="shared" si="5"/>
        <v>0</v>
      </c>
      <c r="K50" s="146"/>
      <c r="L50" s="146"/>
      <c r="M50" s="146"/>
      <c r="N50" s="146"/>
      <c r="O50" s="146"/>
      <c r="P50" s="156">
        <f t="shared" si="3"/>
        <v>147644.65</v>
      </c>
    </row>
    <row r="51" spans="1:16" s="201" customFormat="1" ht="27" customHeight="1">
      <c r="A51" s="198"/>
      <c r="B51" s="198" t="s">
        <v>416</v>
      </c>
      <c r="C51" s="198"/>
      <c r="D51" s="199" t="s">
        <v>417</v>
      </c>
      <c r="E51" s="200">
        <f>SUM(E52:E55)</f>
        <v>544618.9</v>
      </c>
      <c r="F51" s="200">
        <f aca="true" t="shared" si="10" ref="F51:P51">SUM(F52:F55)</f>
        <v>544618.9</v>
      </c>
      <c r="G51" s="200">
        <f t="shared" si="10"/>
        <v>0</v>
      </c>
      <c r="H51" s="200">
        <f t="shared" si="10"/>
        <v>0</v>
      </c>
      <c r="I51" s="200">
        <f t="shared" si="10"/>
        <v>0</v>
      </c>
      <c r="J51" s="200">
        <f t="shared" si="10"/>
        <v>295600</v>
      </c>
      <c r="K51" s="200">
        <f t="shared" si="10"/>
        <v>0</v>
      </c>
      <c r="L51" s="200">
        <f t="shared" si="10"/>
        <v>158200</v>
      </c>
      <c r="M51" s="200">
        <f t="shared" si="10"/>
        <v>0</v>
      </c>
      <c r="N51" s="200">
        <f t="shared" si="10"/>
        <v>0</v>
      </c>
      <c r="O51" s="200">
        <f t="shared" si="10"/>
        <v>137400</v>
      </c>
      <c r="P51" s="200">
        <f t="shared" si="10"/>
        <v>840218.9</v>
      </c>
    </row>
    <row r="52" spans="1:16" s="201" customFormat="1" ht="27" customHeight="1">
      <c r="A52" s="31" t="s">
        <v>419</v>
      </c>
      <c r="B52" s="31" t="s">
        <v>418</v>
      </c>
      <c r="C52" s="31" t="s">
        <v>420</v>
      </c>
      <c r="D52" s="40" t="s">
        <v>421</v>
      </c>
      <c r="E52" s="145">
        <f>F52+I52</f>
        <v>50000</v>
      </c>
      <c r="F52" s="146">
        <v>50000</v>
      </c>
      <c r="G52" s="146"/>
      <c r="H52" s="146"/>
      <c r="I52" s="146"/>
      <c r="J52" s="145">
        <f>L52+O52</f>
        <v>0</v>
      </c>
      <c r="K52" s="146"/>
      <c r="L52" s="146"/>
      <c r="M52" s="146"/>
      <c r="N52" s="146"/>
      <c r="O52" s="146"/>
      <c r="P52" s="156">
        <f>J52+E52</f>
        <v>50000</v>
      </c>
    </row>
    <row r="53" spans="1:16" s="125" customFormat="1" ht="36" customHeight="1">
      <c r="A53" s="31" t="s">
        <v>204</v>
      </c>
      <c r="B53" s="31" t="s">
        <v>205</v>
      </c>
      <c r="C53" s="31" t="s">
        <v>206</v>
      </c>
      <c r="D53" s="40" t="s">
        <v>207</v>
      </c>
      <c r="E53" s="145">
        <f t="shared" si="4"/>
        <v>424618.9</v>
      </c>
      <c r="F53" s="146">
        <v>424618.9</v>
      </c>
      <c r="G53" s="146"/>
      <c r="H53" s="146"/>
      <c r="I53" s="146"/>
      <c r="J53" s="145">
        <f t="shared" si="5"/>
        <v>0</v>
      </c>
      <c r="K53" s="146"/>
      <c r="L53" s="146"/>
      <c r="M53" s="146"/>
      <c r="N53" s="146"/>
      <c r="O53" s="146"/>
      <c r="P53" s="156">
        <f t="shared" si="3"/>
        <v>424618.9</v>
      </c>
    </row>
    <row r="54" spans="1:16" s="125" customFormat="1" ht="27" customHeight="1">
      <c r="A54" s="31" t="s">
        <v>422</v>
      </c>
      <c r="B54" s="31" t="s">
        <v>423</v>
      </c>
      <c r="C54" s="31" t="s">
        <v>206</v>
      </c>
      <c r="D54" s="40" t="s">
        <v>424</v>
      </c>
      <c r="E54" s="145">
        <f>F54+I54</f>
        <v>70000</v>
      </c>
      <c r="F54" s="146">
        <v>70000</v>
      </c>
      <c r="G54" s="146"/>
      <c r="H54" s="146"/>
      <c r="I54" s="146"/>
      <c r="J54" s="145">
        <f>L54+O54</f>
        <v>0</v>
      </c>
      <c r="K54" s="146"/>
      <c r="L54" s="146"/>
      <c r="M54" s="146"/>
      <c r="N54" s="146"/>
      <c r="O54" s="146"/>
      <c r="P54" s="156">
        <f>J54+E54</f>
        <v>70000</v>
      </c>
    </row>
    <row r="55" spans="1:16" s="125" customFormat="1" ht="27" customHeight="1">
      <c r="A55" s="31" t="s">
        <v>208</v>
      </c>
      <c r="B55" s="31" t="s">
        <v>209</v>
      </c>
      <c r="C55" s="31" t="s">
        <v>210</v>
      </c>
      <c r="D55" s="148" t="s">
        <v>211</v>
      </c>
      <c r="E55" s="145">
        <f t="shared" si="4"/>
        <v>0</v>
      </c>
      <c r="F55" s="146"/>
      <c r="G55" s="146"/>
      <c r="H55" s="146"/>
      <c r="I55" s="146"/>
      <c r="J55" s="145">
        <f t="shared" si="5"/>
        <v>295600</v>
      </c>
      <c r="K55" s="146"/>
      <c r="L55" s="146">
        <v>158200</v>
      </c>
      <c r="M55" s="146"/>
      <c r="N55" s="146"/>
      <c r="O55" s="146">
        <v>137400</v>
      </c>
      <c r="P55" s="156">
        <f t="shared" si="3"/>
        <v>295600</v>
      </c>
    </row>
    <row r="56" spans="1:16" s="126" customFormat="1" ht="39" customHeight="1">
      <c r="A56" s="139" t="s">
        <v>212</v>
      </c>
      <c r="B56" s="139"/>
      <c r="C56" s="139"/>
      <c r="D56" s="140" t="s">
        <v>425</v>
      </c>
      <c r="E56" s="141">
        <f>E57</f>
        <v>179210182.25</v>
      </c>
      <c r="F56" s="141">
        <f aca="true" t="shared" si="11" ref="F56:P56">F57</f>
        <v>179210182.25</v>
      </c>
      <c r="G56" s="141">
        <f t="shared" si="11"/>
        <v>131678030</v>
      </c>
      <c r="H56" s="141">
        <f t="shared" si="11"/>
        <v>12061458</v>
      </c>
      <c r="I56" s="141">
        <f t="shared" si="11"/>
        <v>0</v>
      </c>
      <c r="J56" s="141">
        <f t="shared" si="11"/>
        <v>2639142</v>
      </c>
      <c r="K56" s="141">
        <f t="shared" si="11"/>
        <v>2209142</v>
      </c>
      <c r="L56" s="141">
        <f t="shared" si="11"/>
        <v>430000</v>
      </c>
      <c r="M56" s="141">
        <f t="shared" si="11"/>
        <v>0</v>
      </c>
      <c r="N56" s="141">
        <f t="shared" si="11"/>
        <v>0</v>
      </c>
      <c r="O56" s="141">
        <f t="shared" si="11"/>
        <v>2209142</v>
      </c>
      <c r="P56" s="141">
        <f t="shared" si="11"/>
        <v>181849324.25</v>
      </c>
    </row>
    <row r="57" spans="1:16" s="127" customFormat="1" ht="40.5" customHeight="1">
      <c r="A57" s="142" t="s">
        <v>213</v>
      </c>
      <c r="B57" s="142"/>
      <c r="C57" s="142"/>
      <c r="D57" s="143" t="str">
        <f>D56</f>
        <v>Відділ освіти Тетіївської міської ради</v>
      </c>
      <c r="E57" s="144">
        <f>E58+E60+E75+E77</f>
        <v>179210182.25</v>
      </c>
      <c r="F57" s="144">
        <f aca="true" t="shared" si="12" ref="F57:P57">F58+F60+F75+F77</f>
        <v>179210182.25</v>
      </c>
      <c r="G57" s="144">
        <f t="shared" si="12"/>
        <v>131678030</v>
      </c>
      <c r="H57" s="144">
        <f t="shared" si="12"/>
        <v>12061458</v>
      </c>
      <c r="I57" s="144">
        <f t="shared" si="12"/>
        <v>0</v>
      </c>
      <c r="J57" s="144">
        <f t="shared" si="12"/>
        <v>2639142</v>
      </c>
      <c r="K57" s="144">
        <f t="shared" si="12"/>
        <v>2209142</v>
      </c>
      <c r="L57" s="144">
        <f t="shared" si="12"/>
        <v>430000</v>
      </c>
      <c r="M57" s="144">
        <f t="shared" si="12"/>
        <v>0</v>
      </c>
      <c r="N57" s="144">
        <f t="shared" si="12"/>
        <v>0</v>
      </c>
      <c r="O57" s="144">
        <f t="shared" si="12"/>
        <v>2209142</v>
      </c>
      <c r="P57" s="144">
        <f t="shared" si="12"/>
        <v>181849324.25</v>
      </c>
    </row>
    <row r="58" spans="1:16" s="203" customFormat="1" ht="32.25" customHeight="1">
      <c r="A58" s="195"/>
      <c r="B58" s="195" t="s">
        <v>382</v>
      </c>
      <c r="C58" s="195"/>
      <c r="D58" s="196" t="s">
        <v>383</v>
      </c>
      <c r="E58" s="197">
        <f>E59</f>
        <v>823408</v>
      </c>
      <c r="F58" s="197">
        <f aca="true" t="shared" si="13" ref="F58:P58">F59</f>
        <v>823408</v>
      </c>
      <c r="G58" s="197">
        <f t="shared" si="13"/>
        <v>674100</v>
      </c>
      <c r="H58" s="197">
        <f t="shared" si="13"/>
        <v>0</v>
      </c>
      <c r="I58" s="197">
        <f t="shared" si="13"/>
        <v>0</v>
      </c>
      <c r="J58" s="197">
        <f t="shared" si="13"/>
        <v>0</v>
      </c>
      <c r="K58" s="197">
        <f t="shared" si="13"/>
        <v>0</v>
      </c>
      <c r="L58" s="197">
        <f t="shared" si="13"/>
        <v>0</v>
      </c>
      <c r="M58" s="197">
        <f t="shared" si="13"/>
        <v>0</v>
      </c>
      <c r="N58" s="197">
        <f t="shared" si="13"/>
        <v>0</v>
      </c>
      <c r="O58" s="197">
        <f t="shared" si="13"/>
        <v>0</v>
      </c>
      <c r="P58" s="197">
        <f t="shared" si="13"/>
        <v>823408</v>
      </c>
    </row>
    <row r="59" spans="1:16" s="128" customFormat="1" ht="40.5" customHeight="1">
      <c r="A59" s="149" t="s">
        <v>214</v>
      </c>
      <c r="B59" s="149" t="s">
        <v>215</v>
      </c>
      <c r="C59" s="149" t="s">
        <v>142</v>
      </c>
      <c r="D59" s="40" t="s">
        <v>216</v>
      </c>
      <c r="E59" s="150">
        <f>F59+I59</f>
        <v>823408</v>
      </c>
      <c r="F59" s="151">
        <f>822408+1000</f>
        <v>823408</v>
      </c>
      <c r="G59" s="151">
        <v>674100</v>
      </c>
      <c r="H59" s="152"/>
      <c r="I59" s="152"/>
      <c r="J59" s="145">
        <f>L59+O59</f>
        <v>0</v>
      </c>
      <c r="K59" s="152"/>
      <c r="L59" s="152"/>
      <c r="M59" s="152"/>
      <c r="N59" s="152"/>
      <c r="O59" s="152"/>
      <c r="P59" s="156">
        <f>J59+E59</f>
        <v>823408</v>
      </c>
    </row>
    <row r="60" spans="1:16" s="201" customFormat="1" ht="40.5" customHeight="1">
      <c r="A60" s="198"/>
      <c r="B60" s="198" t="s">
        <v>426</v>
      </c>
      <c r="C60" s="198"/>
      <c r="D60" s="199" t="s">
        <v>427</v>
      </c>
      <c r="E60" s="200">
        <f>SUM(E61:E74)</f>
        <v>177631674.25</v>
      </c>
      <c r="F60" s="200">
        <f aca="true" t="shared" si="14" ref="F60:P60">SUM(F61:F74)</f>
        <v>177631674.25</v>
      </c>
      <c r="G60" s="200">
        <f t="shared" si="14"/>
        <v>130396830</v>
      </c>
      <c r="H60" s="200">
        <f t="shared" si="14"/>
        <v>12061458</v>
      </c>
      <c r="I60" s="200">
        <f t="shared" si="14"/>
        <v>0</v>
      </c>
      <c r="J60" s="200">
        <f t="shared" si="14"/>
        <v>2284704</v>
      </c>
      <c r="K60" s="200">
        <f t="shared" si="14"/>
        <v>1854704</v>
      </c>
      <c r="L60" s="200">
        <f t="shared" si="14"/>
        <v>430000</v>
      </c>
      <c r="M60" s="200">
        <f t="shared" si="14"/>
        <v>0</v>
      </c>
      <c r="N60" s="200">
        <f t="shared" si="14"/>
        <v>0</v>
      </c>
      <c r="O60" s="200">
        <f t="shared" si="14"/>
        <v>1854704</v>
      </c>
      <c r="P60" s="200">
        <f t="shared" si="14"/>
        <v>179916378.25</v>
      </c>
    </row>
    <row r="61" spans="1:16" s="129" customFormat="1" ht="27" customHeight="1">
      <c r="A61" s="31" t="s">
        <v>217</v>
      </c>
      <c r="B61" s="31" t="s">
        <v>218</v>
      </c>
      <c r="C61" s="31" t="s">
        <v>219</v>
      </c>
      <c r="D61" s="153" t="s">
        <v>220</v>
      </c>
      <c r="E61" s="145">
        <f>F61+I61</f>
        <v>24384659.43</v>
      </c>
      <c r="F61" s="154">
        <f>24559449.43+2000-366500+189710</f>
        <v>24384659.43</v>
      </c>
      <c r="G61" s="154">
        <v>16755000</v>
      </c>
      <c r="H61" s="154">
        <f>2686358+2000</f>
        <v>2688358</v>
      </c>
      <c r="I61" s="154"/>
      <c r="J61" s="145">
        <f>L61+O61</f>
        <v>476500</v>
      </c>
      <c r="K61" s="154">
        <f>182823-182823+366500</f>
        <v>366500</v>
      </c>
      <c r="L61" s="154">
        <v>110000</v>
      </c>
      <c r="M61" s="154"/>
      <c r="N61" s="154"/>
      <c r="O61" s="154">
        <f>366500</f>
        <v>366500</v>
      </c>
      <c r="P61" s="156">
        <f>J61+E61</f>
        <v>24861159.43</v>
      </c>
    </row>
    <row r="62" spans="1:16" s="125" customFormat="1" ht="42.75" customHeight="1">
      <c r="A62" s="31" t="s">
        <v>221</v>
      </c>
      <c r="B62" s="31" t="s">
        <v>222</v>
      </c>
      <c r="C62" s="31" t="s">
        <v>223</v>
      </c>
      <c r="D62" s="40" t="s">
        <v>224</v>
      </c>
      <c r="E62" s="145">
        <f aca="true" t="shared" si="15" ref="E62:E76">F62+I62</f>
        <v>39794236.82</v>
      </c>
      <c r="F62" s="154">
        <f>39296736.82-9400+506900</f>
        <v>39794236.82</v>
      </c>
      <c r="G62" s="154">
        <v>23626800</v>
      </c>
      <c r="H62" s="154">
        <f>8941500+99000</f>
        <v>9040500</v>
      </c>
      <c r="I62" s="154"/>
      <c r="J62" s="145">
        <f aca="true" t="shared" si="16" ref="J62:J76">L62+O62</f>
        <v>358250</v>
      </c>
      <c r="K62" s="154">
        <v>38250</v>
      </c>
      <c r="L62" s="154">
        <v>320000</v>
      </c>
      <c r="M62" s="154"/>
      <c r="N62" s="154"/>
      <c r="O62" s="154">
        <v>38250</v>
      </c>
      <c r="P62" s="156">
        <f aca="true" t="shared" si="17" ref="P62:P76">J62+E62</f>
        <v>40152486.82</v>
      </c>
    </row>
    <row r="63" spans="1:16" s="129" customFormat="1" ht="36" customHeight="1">
      <c r="A63" s="31" t="s">
        <v>225</v>
      </c>
      <c r="B63" s="31" t="s">
        <v>226</v>
      </c>
      <c r="C63" s="31" t="s">
        <v>223</v>
      </c>
      <c r="D63" s="40" t="s">
        <v>227</v>
      </c>
      <c r="E63" s="145">
        <f t="shared" si="15"/>
        <v>98194200</v>
      </c>
      <c r="F63" s="154">
        <f>99394200-1200000</f>
        <v>98194200</v>
      </c>
      <c r="G63" s="154">
        <v>80486900</v>
      </c>
      <c r="H63" s="154"/>
      <c r="I63" s="154"/>
      <c r="J63" s="145">
        <f t="shared" si="16"/>
        <v>0</v>
      </c>
      <c r="K63" s="154"/>
      <c r="L63" s="154"/>
      <c r="M63" s="154"/>
      <c r="N63" s="154"/>
      <c r="O63" s="154"/>
      <c r="P63" s="156">
        <f t="shared" si="17"/>
        <v>98194200</v>
      </c>
    </row>
    <row r="64" spans="1:16" s="129" customFormat="1" ht="36" customHeight="1">
      <c r="A64" s="31" t="s">
        <v>487</v>
      </c>
      <c r="B64" s="31" t="s">
        <v>488</v>
      </c>
      <c r="C64" s="31" t="s">
        <v>223</v>
      </c>
      <c r="D64" s="40" t="s">
        <v>489</v>
      </c>
      <c r="E64" s="145">
        <f>F64+I64</f>
        <v>907209</v>
      </c>
      <c r="F64" s="154">
        <f>1200000+230509-523300</f>
        <v>907209</v>
      </c>
      <c r="G64" s="154"/>
      <c r="H64" s="154"/>
      <c r="I64" s="154"/>
      <c r="J64" s="145">
        <f>L64+O64</f>
        <v>542876</v>
      </c>
      <c r="K64" s="154">
        <f>19576+523300</f>
        <v>542876</v>
      </c>
      <c r="L64" s="154"/>
      <c r="M64" s="154"/>
      <c r="N64" s="154"/>
      <c r="O64" s="154">
        <f>19576+523300</f>
        <v>542876</v>
      </c>
      <c r="P64" s="156">
        <f>J64+E64</f>
        <v>1450085</v>
      </c>
    </row>
    <row r="65" spans="1:16" s="125" customFormat="1" ht="38.25" customHeight="1">
      <c r="A65" s="31" t="s">
        <v>228</v>
      </c>
      <c r="B65" s="31" t="s">
        <v>162</v>
      </c>
      <c r="C65" s="31" t="s">
        <v>229</v>
      </c>
      <c r="D65" s="83" t="s">
        <v>230</v>
      </c>
      <c r="E65" s="145">
        <f t="shared" si="15"/>
        <v>2853500</v>
      </c>
      <c r="F65" s="154">
        <f>2853100+400</f>
        <v>2853500</v>
      </c>
      <c r="G65" s="154">
        <v>2163600</v>
      </c>
      <c r="H65" s="154">
        <v>213200</v>
      </c>
      <c r="I65" s="154"/>
      <c r="J65" s="145">
        <f t="shared" si="16"/>
        <v>0</v>
      </c>
      <c r="K65" s="154"/>
      <c r="L65" s="154"/>
      <c r="M65" s="154"/>
      <c r="N65" s="154"/>
      <c r="O65" s="154"/>
      <c r="P65" s="156">
        <f t="shared" si="17"/>
        <v>2853500</v>
      </c>
    </row>
    <row r="66" spans="1:16" s="125" customFormat="1" ht="31.5" customHeight="1">
      <c r="A66" s="35" t="s">
        <v>231</v>
      </c>
      <c r="B66" s="31" t="s">
        <v>232</v>
      </c>
      <c r="C66" s="31" t="s">
        <v>233</v>
      </c>
      <c r="D66" s="147" t="s">
        <v>234</v>
      </c>
      <c r="E66" s="145">
        <f t="shared" si="15"/>
        <v>4550137</v>
      </c>
      <c r="F66" s="151">
        <f>4529501+20636</f>
        <v>4550137</v>
      </c>
      <c r="G66" s="151">
        <f>4090000-902800</f>
        <v>3187200</v>
      </c>
      <c r="H66" s="151">
        <f>85800-13000</f>
        <v>72800</v>
      </c>
      <c r="I66" s="154"/>
      <c r="J66" s="145">
        <f t="shared" si="16"/>
        <v>0</v>
      </c>
      <c r="K66" s="154"/>
      <c r="L66" s="154"/>
      <c r="M66" s="154"/>
      <c r="N66" s="154"/>
      <c r="O66" s="154"/>
      <c r="P66" s="156">
        <f t="shared" si="17"/>
        <v>4550137</v>
      </c>
    </row>
    <row r="67" spans="1:16" s="125" customFormat="1" ht="27.75" customHeight="1">
      <c r="A67" s="31" t="s">
        <v>235</v>
      </c>
      <c r="B67" s="31" t="s">
        <v>236</v>
      </c>
      <c r="C67" s="31" t="s">
        <v>233</v>
      </c>
      <c r="D67" s="83" t="s">
        <v>237</v>
      </c>
      <c r="E67" s="145">
        <f t="shared" si="15"/>
        <v>862175</v>
      </c>
      <c r="F67" s="154">
        <f>882811-20636</f>
        <v>862175</v>
      </c>
      <c r="G67" s="154"/>
      <c r="H67" s="154"/>
      <c r="I67" s="154"/>
      <c r="J67" s="145">
        <f t="shared" si="16"/>
        <v>0</v>
      </c>
      <c r="K67" s="154"/>
      <c r="L67" s="154"/>
      <c r="M67" s="154"/>
      <c r="N67" s="154"/>
      <c r="O67" s="154"/>
      <c r="P67" s="156">
        <f t="shared" si="17"/>
        <v>862175</v>
      </c>
    </row>
    <row r="68" spans="1:16" s="125" customFormat="1" ht="36.75" customHeight="1">
      <c r="A68" s="31" t="s">
        <v>238</v>
      </c>
      <c r="B68" s="31" t="s">
        <v>239</v>
      </c>
      <c r="C68" s="31" t="s">
        <v>233</v>
      </c>
      <c r="D68" s="83" t="s">
        <v>240</v>
      </c>
      <c r="E68" s="145">
        <f t="shared" si="15"/>
        <v>102100</v>
      </c>
      <c r="F68" s="146">
        <f>96100+6000</f>
        <v>102100</v>
      </c>
      <c r="G68" s="146">
        <v>38200</v>
      </c>
      <c r="H68" s="146">
        <v>33600</v>
      </c>
      <c r="I68" s="154"/>
      <c r="J68" s="145">
        <f t="shared" si="16"/>
        <v>0</v>
      </c>
      <c r="K68" s="154"/>
      <c r="L68" s="154"/>
      <c r="M68" s="154"/>
      <c r="N68" s="154"/>
      <c r="O68" s="154"/>
      <c r="P68" s="156">
        <f t="shared" si="17"/>
        <v>102100</v>
      </c>
    </row>
    <row r="69" spans="1:16" s="125" customFormat="1" ht="42" customHeight="1">
      <c r="A69" s="31" t="s">
        <v>241</v>
      </c>
      <c r="B69" s="31" t="s">
        <v>242</v>
      </c>
      <c r="C69" s="31" t="s">
        <v>233</v>
      </c>
      <c r="D69" s="83" t="s">
        <v>243</v>
      </c>
      <c r="E69" s="145">
        <f t="shared" si="15"/>
        <v>2998091</v>
      </c>
      <c r="F69" s="154">
        <v>2998091</v>
      </c>
      <c r="G69" s="154">
        <v>2457446</v>
      </c>
      <c r="H69" s="154"/>
      <c r="I69" s="154"/>
      <c r="J69" s="145">
        <f t="shared" si="16"/>
        <v>0</v>
      </c>
      <c r="K69" s="154"/>
      <c r="L69" s="154"/>
      <c r="M69" s="154"/>
      <c r="N69" s="154"/>
      <c r="O69" s="154"/>
      <c r="P69" s="156">
        <f t="shared" si="17"/>
        <v>2998091</v>
      </c>
    </row>
    <row r="70" spans="1:16" s="125" customFormat="1" ht="42" customHeight="1">
      <c r="A70" s="31" t="s">
        <v>244</v>
      </c>
      <c r="B70" s="31" t="s">
        <v>245</v>
      </c>
      <c r="C70" s="31" t="s">
        <v>233</v>
      </c>
      <c r="D70" s="83" t="s">
        <v>246</v>
      </c>
      <c r="E70" s="145">
        <f t="shared" si="15"/>
        <v>1140600</v>
      </c>
      <c r="F70" s="151">
        <v>1140600</v>
      </c>
      <c r="G70" s="151">
        <v>902800</v>
      </c>
      <c r="H70" s="151">
        <v>13000</v>
      </c>
      <c r="I70" s="154"/>
      <c r="J70" s="145">
        <f t="shared" si="16"/>
        <v>0</v>
      </c>
      <c r="K70" s="154"/>
      <c r="L70" s="154"/>
      <c r="M70" s="154"/>
      <c r="N70" s="154"/>
      <c r="O70" s="154"/>
      <c r="P70" s="156">
        <f t="shared" si="17"/>
        <v>1140600</v>
      </c>
    </row>
    <row r="71" spans="1:16" s="125" customFormat="1" ht="83.25" customHeight="1">
      <c r="A71" s="31" t="s">
        <v>428</v>
      </c>
      <c r="B71" s="31" t="s">
        <v>430</v>
      </c>
      <c r="C71" s="31" t="s">
        <v>233</v>
      </c>
      <c r="D71" s="83" t="s">
        <v>432</v>
      </c>
      <c r="E71" s="145">
        <f>F71+I71</f>
        <v>57760</v>
      </c>
      <c r="F71" s="151">
        <f>111384-53624</f>
        <v>57760</v>
      </c>
      <c r="G71" s="151"/>
      <c r="H71" s="151"/>
      <c r="I71" s="154"/>
      <c r="J71" s="145">
        <f>L71+O71</f>
        <v>53624</v>
      </c>
      <c r="K71" s="154">
        <f>53624</f>
        <v>53624</v>
      </c>
      <c r="L71" s="154"/>
      <c r="M71" s="154"/>
      <c r="N71" s="154"/>
      <c r="O71" s="154">
        <f>53624</f>
        <v>53624</v>
      </c>
      <c r="P71" s="156">
        <f>J71+E71</f>
        <v>111384</v>
      </c>
    </row>
    <row r="72" spans="1:16" s="125" customFormat="1" ht="79.5" customHeight="1">
      <c r="A72" s="31" t="s">
        <v>429</v>
      </c>
      <c r="B72" s="31" t="s">
        <v>431</v>
      </c>
      <c r="C72" s="31" t="s">
        <v>233</v>
      </c>
      <c r="D72" s="83" t="s">
        <v>433</v>
      </c>
      <c r="E72" s="145">
        <f>F72+I72</f>
        <v>865084</v>
      </c>
      <c r="F72" s="151">
        <f>338187+519842+7055</f>
        <v>865084</v>
      </c>
      <c r="G72" s="151">
        <f>17056+5800</f>
        <v>22856</v>
      </c>
      <c r="H72" s="151"/>
      <c r="I72" s="154"/>
      <c r="J72" s="145">
        <f>L72+O72</f>
        <v>482614</v>
      </c>
      <c r="K72" s="154">
        <f>1002456-519842</f>
        <v>482614</v>
      </c>
      <c r="L72" s="154"/>
      <c r="M72" s="154"/>
      <c r="N72" s="154"/>
      <c r="O72" s="154">
        <f>1002456-519842</f>
        <v>482614</v>
      </c>
      <c r="P72" s="156">
        <f>J72+E72</f>
        <v>1347698</v>
      </c>
    </row>
    <row r="73" spans="1:16" s="125" customFormat="1" ht="54" customHeight="1">
      <c r="A73" s="31" t="s">
        <v>247</v>
      </c>
      <c r="B73" s="31" t="s">
        <v>248</v>
      </c>
      <c r="C73" s="31" t="s">
        <v>233</v>
      </c>
      <c r="D73" s="83" t="s">
        <v>249</v>
      </c>
      <c r="E73" s="145">
        <f t="shared" si="15"/>
        <v>730816</v>
      </c>
      <c r="F73" s="154">
        <v>730816</v>
      </c>
      <c r="G73" s="154">
        <v>599028</v>
      </c>
      <c r="H73" s="154"/>
      <c r="I73" s="154"/>
      <c r="J73" s="145">
        <f t="shared" si="16"/>
        <v>370840</v>
      </c>
      <c r="K73" s="154">
        <v>370840</v>
      </c>
      <c r="L73" s="154"/>
      <c r="M73" s="154"/>
      <c r="N73" s="154"/>
      <c r="O73" s="154">
        <v>370840</v>
      </c>
      <c r="P73" s="156">
        <f t="shared" si="17"/>
        <v>1101656</v>
      </c>
    </row>
    <row r="74" spans="1:16" s="125" customFormat="1" ht="75" customHeight="1">
      <c r="A74" s="31" t="s">
        <v>434</v>
      </c>
      <c r="B74" s="31" t="s">
        <v>435</v>
      </c>
      <c r="C74" s="31" t="s">
        <v>233</v>
      </c>
      <c r="D74" s="83" t="s">
        <v>436</v>
      </c>
      <c r="E74" s="145">
        <f>F74+I74</f>
        <v>191106</v>
      </c>
      <c r="F74" s="154">
        <v>191106</v>
      </c>
      <c r="G74" s="154">
        <v>157000</v>
      </c>
      <c r="H74" s="154"/>
      <c r="I74" s="154"/>
      <c r="J74" s="145">
        <f>L74+O74</f>
        <v>0</v>
      </c>
      <c r="K74" s="154"/>
      <c r="L74" s="154"/>
      <c r="M74" s="154"/>
      <c r="N74" s="154"/>
      <c r="O74" s="154"/>
      <c r="P74" s="156">
        <f>J74+E74</f>
        <v>191106</v>
      </c>
    </row>
    <row r="75" spans="1:16" s="201" customFormat="1" ht="38.25" customHeight="1">
      <c r="A75" s="198"/>
      <c r="B75" s="198" t="s">
        <v>437</v>
      </c>
      <c r="C75" s="198"/>
      <c r="D75" s="202" t="s">
        <v>438</v>
      </c>
      <c r="E75" s="200">
        <f>SUM(E76)</f>
        <v>755100</v>
      </c>
      <c r="F75" s="200">
        <f aca="true" t="shared" si="18" ref="F75:P75">SUM(F76)</f>
        <v>755100</v>
      </c>
      <c r="G75" s="200">
        <f t="shared" si="18"/>
        <v>607100</v>
      </c>
      <c r="H75" s="200">
        <f t="shared" si="18"/>
        <v>0</v>
      </c>
      <c r="I75" s="200">
        <f t="shared" si="18"/>
        <v>0</v>
      </c>
      <c r="J75" s="200">
        <f t="shared" si="18"/>
        <v>0</v>
      </c>
      <c r="K75" s="200">
        <f t="shared" si="18"/>
        <v>0</v>
      </c>
      <c r="L75" s="200">
        <f t="shared" si="18"/>
        <v>0</v>
      </c>
      <c r="M75" s="200">
        <f t="shared" si="18"/>
        <v>0</v>
      </c>
      <c r="N75" s="200">
        <f t="shared" si="18"/>
        <v>0</v>
      </c>
      <c r="O75" s="200">
        <f t="shared" si="18"/>
        <v>0</v>
      </c>
      <c r="P75" s="200">
        <f t="shared" si="18"/>
        <v>755100</v>
      </c>
    </row>
    <row r="76" spans="1:16" s="125" customFormat="1" ht="34.5" customHeight="1">
      <c r="A76" s="35" t="s">
        <v>250</v>
      </c>
      <c r="B76" s="31" t="s">
        <v>251</v>
      </c>
      <c r="C76" s="31" t="s">
        <v>252</v>
      </c>
      <c r="D76" s="147" t="s">
        <v>253</v>
      </c>
      <c r="E76" s="145">
        <f t="shared" si="15"/>
        <v>755100</v>
      </c>
      <c r="F76" s="154">
        <v>755100</v>
      </c>
      <c r="G76" s="154">
        <v>607100</v>
      </c>
      <c r="H76" s="154"/>
      <c r="I76" s="154"/>
      <c r="J76" s="145">
        <f t="shared" si="16"/>
        <v>0</v>
      </c>
      <c r="K76" s="154"/>
      <c r="L76" s="154"/>
      <c r="M76" s="154"/>
      <c r="N76" s="154"/>
      <c r="O76" s="154"/>
      <c r="P76" s="156">
        <f t="shared" si="17"/>
        <v>755100</v>
      </c>
    </row>
    <row r="77" spans="1:16" s="125" customFormat="1" ht="34.5" customHeight="1">
      <c r="A77" s="198"/>
      <c r="B77" s="198" t="s">
        <v>402</v>
      </c>
      <c r="C77" s="198"/>
      <c r="D77" s="202" t="s">
        <v>403</v>
      </c>
      <c r="E77" s="200">
        <f>SUM(E78)</f>
        <v>0</v>
      </c>
      <c r="F77" s="200">
        <f aca="true" t="shared" si="19" ref="F77:P77">SUM(F78)</f>
        <v>0</v>
      </c>
      <c r="G77" s="200">
        <f t="shared" si="19"/>
        <v>0</v>
      </c>
      <c r="H77" s="200">
        <f t="shared" si="19"/>
        <v>0</v>
      </c>
      <c r="I77" s="200">
        <f t="shared" si="19"/>
        <v>0</v>
      </c>
      <c r="J77" s="200">
        <f t="shared" si="19"/>
        <v>354438</v>
      </c>
      <c r="K77" s="200">
        <f t="shared" si="19"/>
        <v>354438</v>
      </c>
      <c r="L77" s="200">
        <f t="shared" si="19"/>
        <v>0</v>
      </c>
      <c r="M77" s="200">
        <f t="shared" si="19"/>
        <v>0</v>
      </c>
      <c r="N77" s="200">
        <f t="shared" si="19"/>
        <v>0</v>
      </c>
      <c r="O77" s="200">
        <f t="shared" si="19"/>
        <v>354438</v>
      </c>
      <c r="P77" s="200">
        <f t="shared" si="19"/>
        <v>354438</v>
      </c>
    </row>
    <row r="78" spans="1:16" s="125" customFormat="1" ht="55.5" customHeight="1">
      <c r="A78" s="31" t="s">
        <v>404</v>
      </c>
      <c r="B78" s="31" t="s">
        <v>405</v>
      </c>
      <c r="C78" s="31" t="s">
        <v>199</v>
      </c>
      <c r="D78" s="83" t="s">
        <v>406</v>
      </c>
      <c r="E78" s="145">
        <f>F78+I78</f>
        <v>0</v>
      </c>
      <c r="F78" s="154"/>
      <c r="G78" s="154"/>
      <c r="H78" s="154"/>
      <c r="I78" s="154"/>
      <c r="J78" s="145">
        <f>L78+O78</f>
        <v>354438</v>
      </c>
      <c r="K78" s="154">
        <f>182823+171615</f>
        <v>354438</v>
      </c>
      <c r="L78" s="154"/>
      <c r="M78" s="154"/>
      <c r="N78" s="154"/>
      <c r="O78" s="154">
        <f>182823+171615</f>
        <v>354438</v>
      </c>
      <c r="P78" s="156">
        <f>J78+E78</f>
        <v>354438</v>
      </c>
    </row>
    <row r="79" spans="1:16" s="130" customFormat="1" ht="36.75" customHeight="1">
      <c r="A79" s="139" t="s">
        <v>254</v>
      </c>
      <c r="B79" s="139"/>
      <c r="C79" s="139"/>
      <c r="D79" s="140" t="s">
        <v>439</v>
      </c>
      <c r="E79" s="141">
        <f>E80</f>
        <v>17487116</v>
      </c>
      <c r="F79" s="141">
        <f aca="true" t="shared" si="20" ref="F79:P79">F80</f>
        <v>17487116</v>
      </c>
      <c r="G79" s="141">
        <f t="shared" si="20"/>
        <v>11885900</v>
      </c>
      <c r="H79" s="141">
        <f t="shared" si="20"/>
        <v>1494618</v>
      </c>
      <c r="I79" s="141">
        <f t="shared" si="20"/>
        <v>0</v>
      </c>
      <c r="J79" s="141">
        <f t="shared" si="20"/>
        <v>131800</v>
      </c>
      <c r="K79" s="141">
        <f t="shared" si="20"/>
        <v>0</v>
      </c>
      <c r="L79" s="141">
        <f t="shared" si="20"/>
        <v>119800</v>
      </c>
      <c r="M79" s="141">
        <f t="shared" si="20"/>
        <v>92300</v>
      </c>
      <c r="N79" s="141">
        <f t="shared" si="20"/>
        <v>0</v>
      </c>
      <c r="O79" s="141">
        <f t="shared" si="20"/>
        <v>12000</v>
      </c>
      <c r="P79" s="141">
        <f t="shared" si="20"/>
        <v>17618916</v>
      </c>
    </row>
    <row r="80" spans="1:16" s="129" customFormat="1" ht="37.5" customHeight="1">
      <c r="A80" s="142" t="s">
        <v>255</v>
      </c>
      <c r="B80" s="142"/>
      <c r="C80" s="142"/>
      <c r="D80" s="143" t="str">
        <f>D79</f>
        <v>Відділ культури, молоді та спорту Тетіївської міської ради</v>
      </c>
      <c r="E80" s="144">
        <f>E81+E83+E85+E87+E93</f>
        <v>17487116</v>
      </c>
      <c r="F80" s="144">
        <f aca="true" t="shared" si="21" ref="F80:P80">F81+F83+F85+F87+F93</f>
        <v>17487116</v>
      </c>
      <c r="G80" s="144">
        <f t="shared" si="21"/>
        <v>11885900</v>
      </c>
      <c r="H80" s="144">
        <f t="shared" si="21"/>
        <v>1494618</v>
      </c>
      <c r="I80" s="144">
        <f t="shared" si="21"/>
        <v>0</v>
      </c>
      <c r="J80" s="144">
        <f t="shared" si="21"/>
        <v>131800</v>
      </c>
      <c r="K80" s="144">
        <f t="shared" si="21"/>
        <v>0</v>
      </c>
      <c r="L80" s="144">
        <f t="shared" si="21"/>
        <v>119800</v>
      </c>
      <c r="M80" s="144">
        <f t="shared" si="21"/>
        <v>92300</v>
      </c>
      <c r="N80" s="144">
        <f t="shared" si="21"/>
        <v>0</v>
      </c>
      <c r="O80" s="144">
        <f t="shared" si="21"/>
        <v>12000</v>
      </c>
      <c r="P80" s="144">
        <f t="shared" si="21"/>
        <v>17618916</v>
      </c>
    </row>
    <row r="81" spans="1:16" s="129" customFormat="1" ht="37.5" customHeight="1">
      <c r="A81" s="195"/>
      <c r="B81" s="195" t="s">
        <v>382</v>
      </c>
      <c r="C81" s="195"/>
      <c r="D81" s="196" t="s">
        <v>383</v>
      </c>
      <c r="E81" s="197">
        <f>E82</f>
        <v>619832</v>
      </c>
      <c r="F81" s="197">
        <f aca="true" t="shared" si="22" ref="F81:P81">F82</f>
        <v>619832</v>
      </c>
      <c r="G81" s="197">
        <f t="shared" si="22"/>
        <v>508600</v>
      </c>
      <c r="H81" s="197">
        <f t="shared" si="22"/>
        <v>0</v>
      </c>
      <c r="I81" s="197">
        <f t="shared" si="22"/>
        <v>0</v>
      </c>
      <c r="J81" s="197">
        <f t="shared" si="22"/>
        <v>0</v>
      </c>
      <c r="K81" s="197">
        <f t="shared" si="22"/>
        <v>0</v>
      </c>
      <c r="L81" s="197">
        <f t="shared" si="22"/>
        <v>0</v>
      </c>
      <c r="M81" s="197">
        <f t="shared" si="22"/>
        <v>0</v>
      </c>
      <c r="N81" s="197">
        <f t="shared" si="22"/>
        <v>0</v>
      </c>
      <c r="O81" s="197">
        <f t="shared" si="22"/>
        <v>0</v>
      </c>
      <c r="P81" s="197">
        <f t="shared" si="22"/>
        <v>619832</v>
      </c>
    </row>
    <row r="82" spans="1:16" s="129" customFormat="1" ht="57.75" customHeight="1">
      <c r="A82" s="149" t="s">
        <v>256</v>
      </c>
      <c r="B82" s="149" t="s">
        <v>215</v>
      </c>
      <c r="C82" s="149" t="s">
        <v>142</v>
      </c>
      <c r="D82" s="40" t="s">
        <v>216</v>
      </c>
      <c r="E82" s="145">
        <f>F82+I82</f>
        <v>619832</v>
      </c>
      <c r="F82" s="151">
        <v>619832</v>
      </c>
      <c r="G82" s="151">
        <v>508600</v>
      </c>
      <c r="H82" s="152"/>
      <c r="I82" s="152"/>
      <c r="J82" s="157"/>
      <c r="K82" s="152"/>
      <c r="L82" s="152"/>
      <c r="M82" s="152"/>
      <c r="N82" s="152"/>
      <c r="O82" s="152"/>
      <c r="P82" s="156">
        <f>J82+E82</f>
        <v>619832</v>
      </c>
    </row>
    <row r="83" spans="1:16" s="129" customFormat="1" ht="34.5" customHeight="1">
      <c r="A83" s="198"/>
      <c r="B83" s="198" t="s">
        <v>426</v>
      </c>
      <c r="C83" s="198"/>
      <c r="D83" s="199" t="s">
        <v>427</v>
      </c>
      <c r="E83" s="200">
        <f>SUM(E84)</f>
        <v>3137956</v>
      </c>
      <c r="F83" s="200">
        <f aca="true" t="shared" si="23" ref="F83:P83">SUM(F84)</f>
        <v>3137956</v>
      </c>
      <c r="G83" s="200">
        <f t="shared" si="23"/>
        <v>2332100</v>
      </c>
      <c r="H83" s="200">
        <f t="shared" si="23"/>
        <v>280789</v>
      </c>
      <c r="I83" s="200">
        <f t="shared" si="23"/>
        <v>0</v>
      </c>
      <c r="J83" s="200">
        <f t="shared" si="23"/>
        <v>112600</v>
      </c>
      <c r="K83" s="200">
        <f t="shared" si="23"/>
        <v>0</v>
      </c>
      <c r="L83" s="200">
        <f t="shared" si="23"/>
        <v>112600</v>
      </c>
      <c r="M83" s="200">
        <f t="shared" si="23"/>
        <v>92300</v>
      </c>
      <c r="N83" s="200">
        <f t="shared" si="23"/>
        <v>0</v>
      </c>
      <c r="O83" s="200">
        <f t="shared" si="23"/>
        <v>0</v>
      </c>
      <c r="P83" s="200">
        <f t="shared" si="23"/>
        <v>3250556</v>
      </c>
    </row>
    <row r="84" spans="1:16" s="125" customFormat="1" ht="36" customHeight="1">
      <c r="A84" s="31" t="s">
        <v>257</v>
      </c>
      <c r="B84" s="31" t="s">
        <v>258</v>
      </c>
      <c r="C84" s="31" t="s">
        <v>229</v>
      </c>
      <c r="D84" s="40" t="s">
        <v>259</v>
      </c>
      <c r="E84" s="145">
        <f>F84+I84</f>
        <v>3137956</v>
      </c>
      <c r="F84" s="154">
        <v>3137956</v>
      </c>
      <c r="G84" s="154">
        <v>2332100</v>
      </c>
      <c r="H84" s="154">
        <v>280789</v>
      </c>
      <c r="I84" s="154"/>
      <c r="J84" s="145">
        <f>L84+O84</f>
        <v>112600</v>
      </c>
      <c r="K84" s="154"/>
      <c r="L84" s="154">
        <v>112600</v>
      </c>
      <c r="M84" s="154">
        <v>92300</v>
      </c>
      <c r="N84" s="154"/>
      <c r="O84" s="154"/>
      <c r="P84" s="156">
        <f>J84+E84</f>
        <v>3250556</v>
      </c>
    </row>
    <row r="85" spans="1:16" s="125" customFormat="1" ht="36" customHeight="1">
      <c r="A85" s="198"/>
      <c r="B85" s="198" t="s">
        <v>440</v>
      </c>
      <c r="C85" s="198"/>
      <c r="D85" s="199" t="s">
        <v>390</v>
      </c>
      <c r="E85" s="200">
        <f>SUM(E86)</f>
        <v>40100</v>
      </c>
      <c r="F85" s="200">
        <f aca="true" t="shared" si="24" ref="F85:P85">SUM(F86)</f>
        <v>40100</v>
      </c>
      <c r="G85" s="200">
        <f t="shared" si="24"/>
        <v>0</v>
      </c>
      <c r="H85" s="200">
        <f t="shared" si="24"/>
        <v>0</v>
      </c>
      <c r="I85" s="200">
        <f t="shared" si="24"/>
        <v>0</v>
      </c>
      <c r="J85" s="200">
        <f t="shared" si="24"/>
        <v>0</v>
      </c>
      <c r="K85" s="200">
        <f t="shared" si="24"/>
        <v>0</v>
      </c>
      <c r="L85" s="200">
        <f t="shared" si="24"/>
        <v>0</v>
      </c>
      <c r="M85" s="200">
        <f t="shared" si="24"/>
        <v>0</v>
      </c>
      <c r="N85" s="200">
        <f t="shared" si="24"/>
        <v>0</v>
      </c>
      <c r="O85" s="200">
        <f t="shared" si="24"/>
        <v>0</v>
      </c>
      <c r="P85" s="200">
        <f t="shared" si="24"/>
        <v>40100</v>
      </c>
    </row>
    <row r="86" spans="1:16" s="125" customFormat="1" ht="52.5" customHeight="1">
      <c r="A86" s="31" t="s">
        <v>260</v>
      </c>
      <c r="B86" s="31" t="s">
        <v>261</v>
      </c>
      <c r="C86" s="31" t="s">
        <v>166</v>
      </c>
      <c r="D86" s="40" t="s">
        <v>262</v>
      </c>
      <c r="E86" s="145">
        <f>F86+I86</f>
        <v>40100</v>
      </c>
      <c r="F86" s="154">
        <v>40100</v>
      </c>
      <c r="G86" s="154"/>
      <c r="H86" s="154"/>
      <c r="I86" s="154"/>
      <c r="J86" s="145">
        <f aca="true" t="shared" si="25" ref="J86:J99">L86+O86</f>
        <v>0</v>
      </c>
      <c r="K86" s="154"/>
      <c r="L86" s="154"/>
      <c r="M86" s="154"/>
      <c r="N86" s="154"/>
      <c r="O86" s="154"/>
      <c r="P86" s="156">
        <f aca="true" t="shared" si="26" ref="P86:P99">J86+E86</f>
        <v>40100</v>
      </c>
    </row>
    <row r="87" spans="1:16" s="125" customFormat="1" ht="36" customHeight="1">
      <c r="A87" s="198"/>
      <c r="B87" s="198" t="s">
        <v>441</v>
      </c>
      <c r="C87" s="198"/>
      <c r="D87" s="199" t="s">
        <v>442</v>
      </c>
      <c r="E87" s="200">
        <f>SUM(E88:E92)</f>
        <v>12086369</v>
      </c>
      <c r="F87" s="200">
        <f aca="true" t="shared" si="27" ref="F87:P87">SUM(F88:F92)</f>
        <v>12086369</v>
      </c>
      <c r="G87" s="200">
        <f t="shared" si="27"/>
        <v>8646000</v>
      </c>
      <c r="H87" s="200">
        <f t="shared" si="27"/>
        <v>1190829</v>
      </c>
      <c r="I87" s="200">
        <f t="shared" si="27"/>
        <v>0</v>
      </c>
      <c r="J87" s="200">
        <f t="shared" si="27"/>
        <v>19200</v>
      </c>
      <c r="K87" s="200">
        <f t="shared" si="27"/>
        <v>0</v>
      </c>
      <c r="L87" s="200">
        <f t="shared" si="27"/>
        <v>7200</v>
      </c>
      <c r="M87" s="200">
        <f t="shared" si="27"/>
        <v>0</v>
      </c>
      <c r="N87" s="200">
        <f t="shared" si="27"/>
        <v>0</v>
      </c>
      <c r="O87" s="200">
        <f t="shared" si="27"/>
        <v>12000</v>
      </c>
      <c r="P87" s="200">
        <f t="shared" si="27"/>
        <v>12105569</v>
      </c>
    </row>
    <row r="88" spans="1:16" s="125" customFormat="1" ht="32.25" customHeight="1">
      <c r="A88" s="31" t="s">
        <v>263</v>
      </c>
      <c r="B88" s="31" t="s">
        <v>264</v>
      </c>
      <c r="C88" s="31" t="s">
        <v>265</v>
      </c>
      <c r="D88" s="40" t="s">
        <v>266</v>
      </c>
      <c r="E88" s="145">
        <f>F88+I88</f>
        <v>4021854</v>
      </c>
      <c r="F88" s="154">
        <f>4019024+2830</f>
        <v>4021854</v>
      </c>
      <c r="G88" s="154">
        <v>3111300</v>
      </c>
      <c r="H88" s="154">
        <f>191892+2830</f>
        <v>194722</v>
      </c>
      <c r="I88" s="154"/>
      <c r="J88" s="145">
        <f t="shared" si="25"/>
        <v>0</v>
      </c>
      <c r="K88" s="154"/>
      <c r="L88" s="154"/>
      <c r="M88" s="154"/>
      <c r="N88" s="154"/>
      <c r="O88" s="154"/>
      <c r="P88" s="156">
        <f t="shared" si="26"/>
        <v>4021854</v>
      </c>
    </row>
    <row r="89" spans="1:16" s="125" customFormat="1" ht="32.25" customHeight="1">
      <c r="A89" s="31" t="s">
        <v>267</v>
      </c>
      <c r="B89" s="31" t="s">
        <v>268</v>
      </c>
      <c r="C89" s="31" t="s">
        <v>265</v>
      </c>
      <c r="D89" s="40" t="s">
        <v>269</v>
      </c>
      <c r="E89" s="145">
        <f aca="true" t="shared" si="28" ref="E89:E99">F89+I89</f>
        <v>327117</v>
      </c>
      <c r="F89" s="154">
        <f>326612+505</f>
        <v>327117</v>
      </c>
      <c r="G89" s="154">
        <v>203500</v>
      </c>
      <c r="H89" s="154">
        <f>64410+506</f>
        <v>64916</v>
      </c>
      <c r="I89" s="154"/>
      <c r="J89" s="145">
        <f t="shared" si="25"/>
        <v>0</v>
      </c>
      <c r="K89" s="154"/>
      <c r="L89" s="154"/>
      <c r="M89" s="154"/>
      <c r="N89" s="154"/>
      <c r="O89" s="154"/>
      <c r="P89" s="156">
        <f t="shared" si="26"/>
        <v>327117</v>
      </c>
    </row>
    <row r="90" spans="1:16" s="125" customFormat="1" ht="41.25" customHeight="1">
      <c r="A90" s="31" t="s">
        <v>270</v>
      </c>
      <c r="B90" s="31" t="s">
        <v>271</v>
      </c>
      <c r="C90" s="31" t="s">
        <v>272</v>
      </c>
      <c r="D90" s="40" t="s">
        <v>273</v>
      </c>
      <c r="E90" s="145">
        <f t="shared" si="28"/>
        <v>6408211</v>
      </c>
      <c r="F90" s="154">
        <f>6405811+2400</f>
        <v>6408211</v>
      </c>
      <c r="G90" s="154">
        <v>4435000</v>
      </c>
      <c r="H90" s="154">
        <v>931191</v>
      </c>
      <c r="I90" s="154"/>
      <c r="J90" s="145">
        <f t="shared" si="25"/>
        <v>19200</v>
      </c>
      <c r="K90" s="154"/>
      <c r="L90" s="154">
        <v>7200</v>
      </c>
      <c r="M90" s="154"/>
      <c r="N90" s="154"/>
      <c r="O90" s="154">
        <v>12000</v>
      </c>
      <c r="P90" s="156">
        <f t="shared" si="26"/>
        <v>6427411</v>
      </c>
    </row>
    <row r="91" spans="1:16" s="125" customFormat="1" ht="37.5" customHeight="1">
      <c r="A91" s="31" t="s">
        <v>274</v>
      </c>
      <c r="B91" s="31" t="s">
        <v>275</v>
      </c>
      <c r="C91" s="31" t="s">
        <v>276</v>
      </c>
      <c r="D91" s="40" t="s">
        <v>277</v>
      </c>
      <c r="E91" s="145">
        <f t="shared" si="28"/>
        <v>1200940</v>
      </c>
      <c r="F91" s="154">
        <v>1200940</v>
      </c>
      <c r="G91" s="154">
        <v>896200</v>
      </c>
      <c r="H91" s="154"/>
      <c r="I91" s="154"/>
      <c r="J91" s="145">
        <f t="shared" si="25"/>
        <v>0</v>
      </c>
      <c r="K91" s="154"/>
      <c r="L91" s="154"/>
      <c r="M91" s="154"/>
      <c r="N91" s="154"/>
      <c r="O91" s="154"/>
      <c r="P91" s="156">
        <f t="shared" si="26"/>
        <v>1200940</v>
      </c>
    </row>
    <row r="92" spans="1:16" s="125" customFormat="1" ht="32.25" customHeight="1">
      <c r="A92" s="35" t="s">
        <v>278</v>
      </c>
      <c r="B92" s="31" t="s">
        <v>279</v>
      </c>
      <c r="C92" s="31" t="s">
        <v>276</v>
      </c>
      <c r="D92" s="40" t="s">
        <v>280</v>
      </c>
      <c r="E92" s="145">
        <f t="shared" si="28"/>
        <v>128247</v>
      </c>
      <c r="F92" s="154">
        <f>99247+7250+21750</f>
        <v>128247</v>
      </c>
      <c r="G92" s="154"/>
      <c r="H92" s="154"/>
      <c r="I92" s="154"/>
      <c r="J92" s="145">
        <f t="shared" si="25"/>
        <v>0</v>
      </c>
      <c r="K92" s="154"/>
      <c r="L92" s="154"/>
      <c r="M92" s="154"/>
      <c r="N92" s="154"/>
      <c r="O92" s="154"/>
      <c r="P92" s="156">
        <f t="shared" si="26"/>
        <v>128247</v>
      </c>
    </row>
    <row r="93" spans="1:16" s="125" customFormat="1" ht="36" customHeight="1">
      <c r="A93" s="198"/>
      <c r="B93" s="198" t="s">
        <v>437</v>
      </c>
      <c r="C93" s="198"/>
      <c r="D93" s="199" t="s">
        <v>438</v>
      </c>
      <c r="E93" s="200">
        <f>SUM(E94:E99)</f>
        <v>1602859</v>
      </c>
      <c r="F93" s="200">
        <f aca="true" t="shared" si="29" ref="F93:P93">SUM(F94:F99)</f>
        <v>1602859</v>
      </c>
      <c r="G93" s="200">
        <f t="shared" si="29"/>
        <v>399200</v>
      </c>
      <c r="H93" s="200">
        <f t="shared" si="29"/>
        <v>23000</v>
      </c>
      <c r="I93" s="200">
        <f t="shared" si="29"/>
        <v>0</v>
      </c>
      <c r="J93" s="200">
        <f t="shared" si="29"/>
        <v>0</v>
      </c>
      <c r="K93" s="200">
        <f t="shared" si="29"/>
        <v>0</v>
      </c>
      <c r="L93" s="200">
        <f t="shared" si="29"/>
        <v>0</v>
      </c>
      <c r="M93" s="200">
        <f t="shared" si="29"/>
        <v>0</v>
      </c>
      <c r="N93" s="200">
        <f t="shared" si="29"/>
        <v>0</v>
      </c>
      <c r="O93" s="200">
        <f t="shared" si="29"/>
        <v>0</v>
      </c>
      <c r="P93" s="200">
        <f t="shared" si="29"/>
        <v>1602859</v>
      </c>
    </row>
    <row r="94" spans="1:16" s="125" customFormat="1" ht="41.25" customHeight="1">
      <c r="A94" s="31" t="s">
        <v>281</v>
      </c>
      <c r="B94" s="31" t="s">
        <v>282</v>
      </c>
      <c r="C94" s="31" t="s">
        <v>252</v>
      </c>
      <c r="D94" s="40" t="s">
        <v>283</v>
      </c>
      <c r="E94" s="145">
        <f t="shared" si="28"/>
        <v>39580</v>
      </c>
      <c r="F94" s="154">
        <v>39580</v>
      </c>
      <c r="G94" s="154"/>
      <c r="H94" s="154"/>
      <c r="I94" s="154"/>
      <c r="J94" s="145">
        <f t="shared" si="25"/>
        <v>0</v>
      </c>
      <c r="K94" s="154"/>
      <c r="L94" s="154"/>
      <c r="M94" s="154"/>
      <c r="N94" s="154"/>
      <c r="O94" s="154"/>
      <c r="P94" s="156">
        <f t="shared" si="26"/>
        <v>39580</v>
      </c>
    </row>
    <row r="95" spans="1:16" s="125" customFormat="1" ht="41.25" customHeight="1">
      <c r="A95" s="31" t="s">
        <v>284</v>
      </c>
      <c r="B95" s="31" t="s">
        <v>285</v>
      </c>
      <c r="C95" s="31" t="s">
        <v>252</v>
      </c>
      <c r="D95" s="40" t="s">
        <v>286</v>
      </c>
      <c r="E95" s="145">
        <f t="shared" si="28"/>
        <v>1000</v>
      </c>
      <c r="F95" s="154">
        <v>1000</v>
      </c>
      <c r="G95" s="154"/>
      <c r="H95" s="154"/>
      <c r="I95" s="154"/>
      <c r="J95" s="145">
        <f t="shared" si="25"/>
        <v>0</v>
      </c>
      <c r="K95" s="154"/>
      <c r="L95" s="154"/>
      <c r="M95" s="154"/>
      <c r="N95" s="154"/>
      <c r="O95" s="154"/>
      <c r="P95" s="156">
        <f t="shared" si="26"/>
        <v>1000</v>
      </c>
    </row>
    <row r="96" spans="1:16" s="125" customFormat="1" ht="41.25" customHeight="1">
      <c r="A96" s="31" t="s">
        <v>287</v>
      </c>
      <c r="B96" s="31" t="s">
        <v>288</v>
      </c>
      <c r="C96" s="31" t="s">
        <v>252</v>
      </c>
      <c r="D96" s="40" t="s">
        <v>289</v>
      </c>
      <c r="E96" s="145">
        <f t="shared" si="28"/>
        <v>710200</v>
      </c>
      <c r="F96" s="154">
        <v>710200</v>
      </c>
      <c r="G96" s="154"/>
      <c r="H96" s="154"/>
      <c r="I96" s="154"/>
      <c r="J96" s="145">
        <f t="shared" si="25"/>
        <v>0</v>
      </c>
      <c r="K96" s="154"/>
      <c r="L96" s="154"/>
      <c r="M96" s="154"/>
      <c r="N96" s="154"/>
      <c r="O96" s="154"/>
      <c r="P96" s="156">
        <f t="shared" si="26"/>
        <v>710200</v>
      </c>
    </row>
    <row r="97" spans="1:16" s="125" customFormat="1" ht="34.5" customHeight="1">
      <c r="A97" s="31" t="s">
        <v>290</v>
      </c>
      <c r="B97" s="31" t="s">
        <v>291</v>
      </c>
      <c r="C97" s="31" t="s">
        <v>252</v>
      </c>
      <c r="D97" s="40" t="s">
        <v>292</v>
      </c>
      <c r="E97" s="145">
        <f t="shared" si="28"/>
        <v>593179</v>
      </c>
      <c r="F97" s="154">
        <v>593179</v>
      </c>
      <c r="G97" s="154">
        <v>399200</v>
      </c>
      <c r="H97" s="154">
        <v>23000</v>
      </c>
      <c r="I97" s="154"/>
      <c r="J97" s="145">
        <f t="shared" si="25"/>
        <v>0</v>
      </c>
      <c r="K97" s="154"/>
      <c r="L97" s="154"/>
      <c r="M97" s="154"/>
      <c r="N97" s="154"/>
      <c r="O97" s="154"/>
      <c r="P97" s="156">
        <f t="shared" si="26"/>
        <v>593179</v>
      </c>
    </row>
    <row r="98" spans="1:16" s="125" customFormat="1" ht="63" customHeight="1">
      <c r="A98" s="31" t="s">
        <v>293</v>
      </c>
      <c r="B98" s="31" t="s">
        <v>294</v>
      </c>
      <c r="C98" s="31" t="s">
        <v>252</v>
      </c>
      <c r="D98" s="40" t="s">
        <v>295</v>
      </c>
      <c r="E98" s="145">
        <f t="shared" si="28"/>
        <v>13000</v>
      </c>
      <c r="F98" s="154">
        <v>13000</v>
      </c>
      <c r="G98" s="154"/>
      <c r="H98" s="154"/>
      <c r="I98" s="154"/>
      <c r="J98" s="145">
        <f t="shared" si="25"/>
        <v>0</v>
      </c>
      <c r="K98" s="154"/>
      <c r="L98" s="154"/>
      <c r="M98" s="154"/>
      <c r="N98" s="154"/>
      <c r="O98" s="154"/>
      <c r="P98" s="156">
        <f t="shared" si="26"/>
        <v>13000</v>
      </c>
    </row>
    <row r="99" spans="1:16" s="125" customFormat="1" ht="53.25" customHeight="1">
      <c r="A99" s="31" t="s">
        <v>296</v>
      </c>
      <c r="B99" s="31" t="s">
        <v>297</v>
      </c>
      <c r="C99" s="31" t="s">
        <v>252</v>
      </c>
      <c r="D99" s="40" t="s">
        <v>298</v>
      </c>
      <c r="E99" s="145">
        <f t="shared" si="28"/>
        <v>245900</v>
      </c>
      <c r="F99" s="154">
        <v>245900</v>
      </c>
      <c r="G99" s="154"/>
      <c r="H99" s="154"/>
      <c r="I99" s="154"/>
      <c r="J99" s="145">
        <f t="shared" si="25"/>
        <v>0</v>
      </c>
      <c r="K99" s="154"/>
      <c r="L99" s="154"/>
      <c r="M99" s="154"/>
      <c r="N99" s="154"/>
      <c r="O99" s="154"/>
      <c r="P99" s="156">
        <f t="shared" si="26"/>
        <v>245900</v>
      </c>
    </row>
    <row r="100" spans="1:16" s="126" customFormat="1" ht="35.25" customHeight="1">
      <c r="A100" s="139" t="s">
        <v>299</v>
      </c>
      <c r="B100" s="139"/>
      <c r="C100" s="139"/>
      <c r="D100" s="140" t="s">
        <v>443</v>
      </c>
      <c r="E100" s="141">
        <f>E101</f>
        <v>2133450</v>
      </c>
      <c r="F100" s="141">
        <f aca="true" t="shared" si="30" ref="F100:P100">F101</f>
        <v>1807000</v>
      </c>
      <c r="G100" s="141">
        <f t="shared" si="30"/>
        <v>1469300</v>
      </c>
      <c r="H100" s="141">
        <f t="shared" si="30"/>
        <v>0</v>
      </c>
      <c r="I100" s="141">
        <f t="shared" si="30"/>
        <v>0</v>
      </c>
      <c r="J100" s="141">
        <f t="shared" si="30"/>
        <v>2049584</v>
      </c>
      <c r="K100" s="141">
        <f t="shared" si="30"/>
        <v>2049584</v>
      </c>
      <c r="L100" s="141">
        <f t="shared" si="30"/>
        <v>0</v>
      </c>
      <c r="M100" s="141">
        <f t="shared" si="30"/>
        <v>0</v>
      </c>
      <c r="N100" s="141">
        <f t="shared" si="30"/>
        <v>0</v>
      </c>
      <c r="O100" s="141">
        <f t="shared" si="30"/>
        <v>2049584</v>
      </c>
      <c r="P100" s="141">
        <f t="shared" si="30"/>
        <v>4183034</v>
      </c>
    </row>
    <row r="101" spans="1:16" s="127" customFormat="1" ht="35.25" customHeight="1">
      <c r="A101" s="142" t="s">
        <v>300</v>
      </c>
      <c r="B101" s="142"/>
      <c r="C101" s="142"/>
      <c r="D101" s="143" t="str">
        <f>D100</f>
        <v>Управління фінансів Тетіївської міської ради</v>
      </c>
      <c r="E101" s="144">
        <f>E102+E104+E106</f>
        <v>2133450</v>
      </c>
      <c r="F101" s="144">
        <f aca="true" t="shared" si="31" ref="F101:P101">F102+F104+F106</f>
        <v>1807000</v>
      </c>
      <c r="G101" s="144">
        <f t="shared" si="31"/>
        <v>1469300</v>
      </c>
      <c r="H101" s="144">
        <f t="shared" si="31"/>
        <v>0</v>
      </c>
      <c r="I101" s="144">
        <f t="shared" si="31"/>
        <v>0</v>
      </c>
      <c r="J101" s="144">
        <f t="shared" si="31"/>
        <v>2049584</v>
      </c>
      <c r="K101" s="144">
        <f t="shared" si="31"/>
        <v>2049584</v>
      </c>
      <c r="L101" s="144">
        <f t="shared" si="31"/>
        <v>0</v>
      </c>
      <c r="M101" s="144">
        <f t="shared" si="31"/>
        <v>0</v>
      </c>
      <c r="N101" s="144">
        <f t="shared" si="31"/>
        <v>0</v>
      </c>
      <c r="O101" s="144">
        <f t="shared" si="31"/>
        <v>2049584</v>
      </c>
      <c r="P101" s="144">
        <f t="shared" si="31"/>
        <v>4183034</v>
      </c>
    </row>
    <row r="102" spans="1:16" s="127" customFormat="1" ht="35.25" customHeight="1">
      <c r="A102" s="195"/>
      <c r="B102" s="195" t="s">
        <v>382</v>
      </c>
      <c r="C102" s="195"/>
      <c r="D102" s="196" t="s">
        <v>383</v>
      </c>
      <c r="E102" s="197">
        <f>SUM(E103)</f>
        <v>1807000</v>
      </c>
      <c r="F102" s="197">
        <f aca="true" t="shared" si="32" ref="F102:P102">SUM(F103)</f>
        <v>1807000</v>
      </c>
      <c r="G102" s="197">
        <f t="shared" si="32"/>
        <v>1469300</v>
      </c>
      <c r="H102" s="197">
        <f t="shared" si="32"/>
        <v>0</v>
      </c>
      <c r="I102" s="197">
        <f t="shared" si="32"/>
        <v>0</v>
      </c>
      <c r="J102" s="197">
        <f t="shared" si="32"/>
        <v>0</v>
      </c>
      <c r="K102" s="197">
        <f t="shared" si="32"/>
        <v>0</v>
      </c>
      <c r="L102" s="197">
        <f t="shared" si="32"/>
        <v>0</v>
      </c>
      <c r="M102" s="197">
        <f t="shared" si="32"/>
        <v>0</v>
      </c>
      <c r="N102" s="197">
        <f t="shared" si="32"/>
        <v>0</v>
      </c>
      <c r="O102" s="197">
        <f t="shared" si="32"/>
        <v>0</v>
      </c>
      <c r="P102" s="197">
        <f t="shared" si="32"/>
        <v>1807000</v>
      </c>
    </row>
    <row r="103" spans="1:16" s="129" customFormat="1" ht="39.75" customHeight="1">
      <c r="A103" s="31" t="s">
        <v>301</v>
      </c>
      <c r="B103" s="31" t="s">
        <v>215</v>
      </c>
      <c r="C103" s="31" t="s">
        <v>142</v>
      </c>
      <c r="D103" s="40" t="s">
        <v>216</v>
      </c>
      <c r="E103" s="145">
        <f>F103+I103</f>
        <v>1807000</v>
      </c>
      <c r="F103" s="154">
        <v>1807000</v>
      </c>
      <c r="G103" s="154">
        <v>1469300</v>
      </c>
      <c r="H103" s="154"/>
      <c r="I103" s="154"/>
      <c r="J103" s="145">
        <f>L103+O103</f>
        <v>0</v>
      </c>
      <c r="K103" s="154"/>
      <c r="L103" s="154"/>
      <c r="M103" s="154"/>
      <c r="N103" s="154"/>
      <c r="O103" s="154"/>
      <c r="P103" s="156">
        <f>J103+E103</f>
        <v>1807000</v>
      </c>
    </row>
    <row r="104" spans="1:16" s="129" customFormat="1" ht="39.75" customHeight="1">
      <c r="A104" s="198"/>
      <c r="B104" s="198" t="s">
        <v>416</v>
      </c>
      <c r="C104" s="198"/>
      <c r="D104" s="199" t="s">
        <v>417</v>
      </c>
      <c r="E104" s="200">
        <f>SUM(E105)</f>
        <v>326450</v>
      </c>
      <c r="F104" s="200">
        <f aca="true" t="shared" si="33" ref="F104:P104">SUM(F105)</f>
        <v>0</v>
      </c>
      <c r="G104" s="200">
        <f t="shared" si="33"/>
        <v>0</v>
      </c>
      <c r="H104" s="200">
        <f t="shared" si="33"/>
        <v>0</v>
      </c>
      <c r="I104" s="200">
        <f t="shared" si="33"/>
        <v>0</v>
      </c>
      <c r="J104" s="200">
        <f t="shared" si="33"/>
        <v>0</v>
      </c>
      <c r="K104" s="200">
        <f t="shared" si="33"/>
        <v>0</v>
      </c>
      <c r="L104" s="200">
        <f t="shared" si="33"/>
        <v>0</v>
      </c>
      <c r="M104" s="200">
        <f t="shared" si="33"/>
        <v>0</v>
      </c>
      <c r="N104" s="200">
        <f t="shared" si="33"/>
        <v>0</v>
      </c>
      <c r="O104" s="200">
        <f t="shared" si="33"/>
        <v>0</v>
      </c>
      <c r="P104" s="200">
        <f t="shared" si="33"/>
        <v>326450</v>
      </c>
    </row>
    <row r="105" spans="1:16" s="129" customFormat="1" ht="36" customHeight="1">
      <c r="A105" s="31" t="s">
        <v>302</v>
      </c>
      <c r="B105" s="31" t="s">
        <v>303</v>
      </c>
      <c r="C105" s="31" t="s">
        <v>146</v>
      </c>
      <c r="D105" s="40" t="s">
        <v>304</v>
      </c>
      <c r="E105" s="145">
        <f>408700-82250</f>
        <v>326450</v>
      </c>
      <c r="F105" s="154"/>
      <c r="G105" s="154"/>
      <c r="H105" s="154"/>
      <c r="I105" s="154"/>
      <c r="J105" s="145">
        <f>L105+O105</f>
        <v>0</v>
      </c>
      <c r="K105" s="154">
        <f>952356-500000-126600-207562-63000-40246-14948</f>
        <v>0</v>
      </c>
      <c r="L105" s="154"/>
      <c r="M105" s="154"/>
      <c r="N105" s="154"/>
      <c r="O105" s="154">
        <f>952356-500000-126600-207562-63000-40246-14948</f>
        <v>0</v>
      </c>
      <c r="P105" s="156">
        <f>J105+E105</f>
        <v>326450</v>
      </c>
    </row>
    <row r="106" spans="1:16" s="129" customFormat="1" ht="39.75" customHeight="1">
      <c r="A106" s="198"/>
      <c r="B106" s="198" t="s">
        <v>444</v>
      </c>
      <c r="C106" s="198"/>
      <c r="D106" s="199" t="s">
        <v>445</v>
      </c>
      <c r="E106" s="200">
        <f>SUM(E107)</f>
        <v>0</v>
      </c>
      <c r="F106" s="200">
        <f aca="true" t="shared" si="34" ref="F106:P106">SUM(F107)</f>
        <v>0</v>
      </c>
      <c r="G106" s="200">
        <f t="shared" si="34"/>
        <v>0</v>
      </c>
      <c r="H106" s="200">
        <f t="shared" si="34"/>
        <v>0</v>
      </c>
      <c r="I106" s="200">
        <f t="shared" si="34"/>
        <v>0</v>
      </c>
      <c r="J106" s="200">
        <f t="shared" si="34"/>
        <v>2049584</v>
      </c>
      <c r="K106" s="200">
        <f t="shared" si="34"/>
        <v>2049584</v>
      </c>
      <c r="L106" s="200">
        <f t="shared" si="34"/>
        <v>0</v>
      </c>
      <c r="M106" s="200">
        <f t="shared" si="34"/>
        <v>0</v>
      </c>
      <c r="N106" s="200">
        <f t="shared" si="34"/>
        <v>0</v>
      </c>
      <c r="O106" s="200">
        <f t="shared" si="34"/>
        <v>2049584</v>
      </c>
      <c r="P106" s="200">
        <f t="shared" si="34"/>
        <v>2049584</v>
      </c>
    </row>
    <row r="107" spans="1:16" s="129" customFormat="1" ht="36.75" customHeight="1">
      <c r="A107" s="31" t="s">
        <v>500</v>
      </c>
      <c r="B107" s="31" t="s">
        <v>501</v>
      </c>
      <c r="C107" s="31" t="s">
        <v>145</v>
      </c>
      <c r="D107" s="40" t="s">
        <v>499</v>
      </c>
      <c r="E107" s="145">
        <f>F107+I107</f>
        <v>0</v>
      </c>
      <c r="F107" s="154"/>
      <c r="G107" s="154"/>
      <c r="H107" s="154"/>
      <c r="I107" s="154"/>
      <c r="J107" s="145">
        <f>L107+O107</f>
        <v>2049584</v>
      </c>
      <c r="K107" s="154">
        <f>2010000+39584</f>
        <v>2049584</v>
      </c>
      <c r="L107" s="154"/>
      <c r="M107" s="154"/>
      <c r="N107" s="154"/>
      <c r="O107" s="154">
        <f>2010000+39584</f>
        <v>2049584</v>
      </c>
      <c r="P107" s="156">
        <f>J107+E107</f>
        <v>2049584</v>
      </c>
    </row>
    <row r="108" spans="1:16" s="129" customFormat="1" ht="36.75" customHeight="1" hidden="1">
      <c r="A108" s="31"/>
      <c r="B108" s="31"/>
      <c r="C108" s="31"/>
      <c r="D108" s="40"/>
      <c r="E108" s="145">
        <f>F108+I108</f>
        <v>0</v>
      </c>
      <c r="F108" s="154"/>
      <c r="G108" s="154"/>
      <c r="H108" s="154"/>
      <c r="I108" s="154"/>
      <c r="J108" s="145">
        <f>L108+O108</f>
        <v>0</v>
      </c>
      <c r="K108" s="154"/>
      <c r="L108" s="154"/>
      <c r="M108" s="154"/>
      <c r="N108" s="154"/>
      <c r="O108" s="154"/>
      <c r="P108" s="156">
        <f>J108+E108</f>
        <v>0</v>
      </c>
    </row>
    <row r="109" spans="1:16" s="125" customFormat="1" ht="41.25" customHeight="1" hidden="1">
      <c r="A109" s="31"/>
      <c r="B109" s="31"/>
      <c r="C109" s="31"/>
      <c r="D109" s="83"/>
      <c r="E109" s="145">
        <f>F109+I109</f>
        <v>0</v>
      </c>
      <c r="F109" s="154"/>
      <c r="G109" s="154"/>
      <c r="H109" s="154"/>
      <c r="I109" s="154"/>
      <c r="J109" s="145">
        <f>L109+O109</f>
        <v>0</v>
      </c>
      <c r="K109" s="154"/>
      <c r="L109" s="154"/>
      <c r="M109" s="154"/>
      <c r="N109" s="154"/>
      <c r="O109" s="154"/>
      <c r="P109" s="156">
        <f>J109+E109</f>
        <v>0</v>
      </c>
    </row>
    <row r="110" spans="1:16" s="125" customFormat="1" ht="31.5" customHeight="1">
      <c r="A110" s="158" t="s">
        <v>99</v>
      </c>
      <c r="B110" s="158" t="s">
        <v>99</v>
      </c>
      <c r="C110" s="158" t="s">
        <v>99</v>
      </c>
      <c r="D110" s="158" t="s">
        <v>305</v>
      </c>
      <c r="E110" s="159">
        <f aca="true" t="shared" si="35" ref="E110:P110">E16+E56+E79+E100</f>
        <v>269865766.74</v>
      </c>
      <c r="F110" s="159">
        <f t="shared" si="35"/>
        <v>248686472.09</v>
      </c>
      <c r="G110" s="159">
        <f t="shared" si="35"/>
        <v>166679943.92000002</v>
      </c>
      <c r="H110" s="159">
        <f t="shared" si="35"/>
        <v>14811076</v>
      </c>
      <c r="I110" s="159">
        <f t="shared" si="35"/>
        <v>20852844.65</v>
      </c>
      <c r="J110" s="159">
        <f t="shared" si="35"/>
        <v>20076265.89</v>
      </c>
      <c r="K110" s="159">
        <f t="shared" si="35"/>
        <v>18909457.6</v>
      </c>
      <c r="L110" s="159">
        <f t="shared" si="35"/>
        <v>719350</v>
      </c>
      <c r="M110" s="159">
        <f t="shared" si="35"/>
        <v>92300</v>
      </c>
      <c r="N110" s="159">
        <f t="shared" si="35"/>
        <v>0</v>
      </c>
      <c r="O110" s="159">
        <f t="shared" si="35"/>
        <v>19356915.89</v>
      </c>
      <c r="P110" s="159">
        <f t="shared" si="35"/>
        <v>289942032.63</v>
      </c>
    </row>
    <row r="112" spans="1:16" s="131" customFormat="1" ht="52.5" customHeight="1">
      <c r="A112" s="382" t="str">
        <f>додаток1!A116</f>
        <v>Секретар ради                                                                        Наталія  ІВАНЮТА</v>
      </c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</row>
    <row r="115" spans="1:16" s="132" customFormat="1" ht="20.25">
      <c r="A115" s="160"/>
      <c r="B115" s="161"/>
      <c r="C115" s="161"/>
      <c r="D115" s="162" t="s">
        <v>446</v>
      </c>
      <c r="E115" s="163">
        <f>додаток1!D114+'Додаток 2'!D15-'Додаток 3'!E110</f>
        <v>0</v>
      </c>
      <c r="F115" s="163"/>
      <c r="G115" s="163"/>
      <c r="H115" s="163"/>
      <c r="I115" s="163"/>
      <c r="J115" s="163">
        <f>додаток1!E114+'Додаток 2'!E15-'Додаток 3'!J110</f>
        <v>0</v>
      </c>
      <c r="K115" s="163"/>
      <c r="L115" s="163"/>
      <c r="M115" s="163"/>
      <c r="N115" s="163"/>
      <c r="O115" s="163">
        <f>'[1]додаток1'!F73+'[1]Додаток 2'!F12-'[1]Додаток 3'!O120</f>
        <v>0</v>
      </c>
      <c r="P115" s="163">
        <f>додаток1!C114+'Додаток 2'!C15-'Додаток 3'!P110</f>
        <v>0</v>
      </c>
    </row>
  </sheetData>
  <sheetProtection/>
  <mergeCells count="30">
    <mergeCell ref="L4:P4"/>
    <mergeCell ref="M13:M14"/>
    <mergeCell ref="N13:N14"/>
    <mergeCell ref="O12:O14"/>
    <mergeCell ref="P11:P14"/>
    <mergeCell ref="A112:P112"/>
    <mergeCell ref="A11:A14"/>
    <mergeCell ref="B11:B14"/>
    <mergeCell ref="C11:C14"/>
    <mergeCell ref="D11:D14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19.75390625" style="12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97"/>
      <c r="E1" s="369" t="s">
        <v>307</v>
      </c>
      <c r="F1" s="369"/>
    </row>
    <row r="2" spans="4:6" ht="15.75">
      <c r="D2" s="97"/>
      <c r="E2" s="369" t="str">
        <f>додаток1!D2</f>
        <v>до  рішення сесії Тетіївської міської ради</v>
      </c>
      <c r="F2" s="369"/>
    </row>
    <row r="3" spans="4:6" ht="31.5" customHeight="1">
      <c r="D3" s="98"/>
      <c r="E3" s="370" t="str">
        <f>додаток1!D3</f>
        <v>"Про бюджет Тетіївської міської територіальної громади на 2021 рік" від 24.12.2020.№ 39-02-VIII</v>
      </c>
      <c r="F3" s="370"/>
    </row>
    <row r="4" spans="4:8" ht="16.5" customHeight="1">
      <c r="D4" s="371" t="str">
        <f>додаток1!C4</f>
        <v>(в редакції проекту сесії міської ради від 28.09.2021 № -10-VІІ)</v>
      </c>
      <c r="E4" s="371"/>
      <c r="F4" s="371"/>
      <c r="G4" s="99"/>
      <c r="H4" s="99"/>
    </row>
    <row r="5" spans="3:8" ht="15.75" hidden="1">
      <c r="C5" s="371"/>
      <c r="D5" s="371"/>
      <c r="E5" s="371"/>
      <c r="F5" s="371"/>
      <c r="G5" s="99"/>
      <c r="H5" s="99"/>
    </row>
    <row r="6" spans="1:6" s="89" customFormat="1" ht="30" customHeight="1">
      <c r="A6" s="382" t="s">
        <v>308</v>
      </c>
      <c r="B6" s="382"/>
      <c r="C6" s="382"/>
      <c r="D6" s="382"/>
      <c r="E6" s="382"/>
      <c r="F6" s="382"/>
    </row>
    <row r="7" spans="1:6" s="89" customFormat="1" ht="15.75" customHeight="1">
      <c r="A7" s="101">
        <f>додаток1!A8</f>
        <v>10508000000</v>
      </c>
      <c r="B7" s="100"/>
      <c r="C7" s="100"/>
      <c r="D7" s="102"/>
      <c r="E7" s="102"/>
      <c r="F7" s="102"/>
    </row>
    <row r="8" spans="1:6" s="89" customFormat="1" ht="15.75" customHeight="1">
      <c r="A8" s="73" t="s">
        <v>2</v>
      </c>
      <c r="B8" s="100"/>
      <c r="C8" s="100"/>
      <c r="D8" s="102"/>
      <c r="E8" s="102"/>
      <c r="F8" s="102"/>
    </row>
    <row r="9" spans="1:6" s="89" customFormat="1" ht="15.75" customHeight="1">
      <c r="A9" s="73"/>
      <c r="B9" s="100"/>
      <c r="C9" s="100"/>
      <c r="D9" s="102"/>
      <c r="E9" s="102"/>
      <c r="F9" s="102"/>
    </row>
    <row r="10" spans="1:6" s="89" customFormat="1" ht="15.75" customHeight="1">
      <c r="A10" s="416" t="s">
        <v>309</v>
      </c>
      <c r="B10" s="416"/>
      <c r="C10" s="416"/>
      <c r="D10" s="416"/>
      <c r="E10" s="416"/>
      <c r="F10" s="416"/>
    </row>
    <row r="11" spans="1:6" s="90" customFormat="1" ht="15.75" customHeight="1">
      <c r="A11" s="103"/>
      <c r="F11" s="56" t="s">
        <v>3</v>
      </c>
    </row>
    <row r="12" spans="1:6" s="210" customFormat="1" ht="33.75" customHeight="1">
      <c r="A12" s="441" t="s">
        <v>310</v>
      </c>
      <c r="B12" s="445" t="s">
        <v>311</v>
      </c>
      <c r="C12" s="445"/>
      <c r="D12" s="445"/>
      <c r="E12" s="445"/>
      <c r="F12" s="443" t="s">
        <v>6</v>
      </c>
    </row>
    <row r="13" spans="1:6" s="211" customFormat="1" ht="15.75" customHeight="1">
      <c r="A13" s="442"/>
      <c r="B13" s="445"/>
      <c r="C13" s="445"/>
      <c r="D13" s="445"/>
      <c r="E13" s="445"/>
      <c r="F13" s="444"/>
    </row>
    <row r="14" spans="1:6" s="93" customFormat="1" ht="15.75" customHeight="1">
      <c r="A14" s="105">
        <v>1</v>
      </c>
      <c r="B14" s="417">
        <v>2</v>
      </c>
      <c r="C14" s="418"/>
      <c r="D14" s="418"/>
      <c r="E14" s="419"/>
      <c r="F14" s="105">
        <v>3</v>
      </c>
    </row>
    <row r="15" spans="1:6" s="94" customFormat="1" ht="15.75" customHeight="1">
      <c r="A15" s="385" t="s">
        <v>312</v>
      </c>
      <c r="B15" s="386"/>
      <c r="C15" s="386"/>
      <c r="D15" s="386"/>
      <c r="E15" s="386"/>
      <c r="F15" s="387"/>
    </row>
    <row r="16" spans="1:6" s="7" customFormat="1" ht="24" customHeight="1">
      <c r="A16" s="106">
        <f>додаток1!A92</f>
        <v>41020100</v>
      </c>
      <c r="B16" s="420" t="str">
        <f>додаток1!B92</f>
        <v>Базова дотація</v>
      </c>
      <c r="C16" s="421"/>
      <c r="D16" s="421"/>
      <c r="E16" s="422"/>
      <c r="F16" s="107">
        <f>F17</f>
        <v>9546100</v>
      </c>
    </row>
    <row r="17" spans="1:6" s="90" customFormat="1" ht="24" customHeight="1">
      <c r="A17" s="177">
        <v>99000000000</v>
      </c>
      <c r="B17" s="423" t="s">
        <v>313</v>
      </c>
      <c r="C17" s="424"/>
      <c r="D17" s="424"/>
      <c r="E17" s="425"/>
      <c r="F17" s="109">
        <f>додаток1!D92</f>
        <v>9546100</v>
      </c>
    </row>
    <row r="18" spans="1:6" s="7" customFormat="1" ht="26.25" customHeight="1">
      <c r="A18" s="106">
        <f>додаток1!A95</f>
        <v>41033900</v>
      </c>
      <c r="B18" s="420" t="str">
        <f>додаток1!B95</f>
        <v>Освітня субвенція з державного бюджету місцевим бюджетам</v>
      </c>
      <c r="C18" s="421"/>
      <c r="D18" s="421"/>
      <c r="E18" s="422"/>
      <c r="F18" s="107">
        <f>F19</f>
        <v>98194200</v>
      </c>
    </row>
    <row r="19" spans="1:6" s="90" customFormat="1" ht="24" customHeight="1">
      <c r="A19" s="177">
        <v>99000000000</v>
      </c>
      <c r="B19" s="423" t="s">
        <v>313</v>
      </c>
      <c r="C19" s="424"/>
      <c r="D19" s="424"/>
      <c r="E19" s="425"/>
      <c r="F19" s="109">
        <f>додаток1!D95</f>
        <v>98194200</v>
      </c>
    </row>
    <row r="20" spans="1:6" s="90" customFormat="1" ht="46.5" customHeight="1">
      <c r="A20" s="106">
        <f>додаток1!A96</f>
        <v>41034500</v>
      </c>
      <c r="B20" s="420" t="str">
        <f>додаток1!B96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21"/>
      <c r="D20" s="421"/>
      <c r="E20" s="422"/>
      <c r="F20" s="107">
        <f>F21</f>
        <v>2854035</v>
      </c>
    </row>
    <row r="21" spans="1:6" s="90" customFormat="1" ht="24" customHeight="1">
      <c r="A21" s="177">
        <v>99000000000</v>
      </c>
      <c r="B21" s="423" t="s">
        <v>313</v>
      </c>
      <c r="C21" s="424"/>
      <c r="D21" s="424"/>
      <c r="E21" s="425"/>
      <c r="F21" s="109">
        <f>додаток1!D96</f>
        <v>2854035</v>
      </c>
    </row>
    <row r="22" spans="1:6" s="90" customFormat="1" ht="33.75" customHeight="1">
      <c r="A22" s="106">
        <f>додаток1!A97</f>
        <v>41035200</v>
      </c>
      <c r="B22" s="420" t="str">
        <f>додаток1!B97</f>
        <v>Субвенція з державного бюджету місцевим бюджетам на розвиток мережі центрів надання адміністративних послуг</v>
      </c>
      <c r="C22" s="421"/>
      <c r="D22" s="421"/>
      <c r="E22" s="422"/>
      <c r="F22" s="107">
        <f>F23</f>
        <v>594000</v>
      </c>
    </row>
    <row r="23" spans="1:6" s="90" customFormat="1" ht="24" customHeight="1">
      <c r="A23" s="177">
        <v>99000000000</v>
      </c>
      <c r="B23" s="423" t="s">
        <v>313</v>
      </c>
      <c r="C23" s="424"/>
      <c r="D23" s="424"/>
      <c r="E23" s="425"/>
      <c r="F23" s="109">
        <f>додаток1!D97</f>
        <v>594000</v>
      </c>
    </row>
    <row r="24" spans="1:6" s="90" customFormat="1" ht="48" customHeight="1">
      <c r="A24" s="106">
        <f>додаток1!A98</f>
        <v>41035500</v>
      </c>
      <c r="B24" s="420" t="str">
        <f>додаток1!B98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21"/>
      <c r="D24" s="421"/>
      <c r="E24" s="422"/>
      <c r="F24" s="107">
        <f>F25</f>
        <v>250000</v>
      </c>
    </row>
    <row r="25" spans="1:6" s="90" customFormat="1" ht="24" customHeight="1">
      <c r="A25" s="177">
        <v>99000000000</v>
      </c>
      <c r="B25" s="423" t="s">
        <v>313</v>
      </c>
      <c r="C25" s="424"/>
      <c r="D25" s="424"/>
      <c r="E25" s="425"/>
      <c r="F25" s="109">
        <f>додаток1!D98</f>
        <v>250000</v>
      </c>
    </row>
    <row r="26" spans="1:256" s="7" customFormat="1" ht="49.5" customHeight="1">
      <c r="A26" s="106">
        <f>додаток1!A100</f>
        <v>41040200</v>
      </c>
      <c r="B26" s="420" t="str">
        <f>додаток1!B100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21"/>
      <c r="D26" s="421"/>
      <c r="E26" s="422"/>
      <c r="F26" s="107">
        <f>F27</f>
        <v>3558400</v>
      </c>
      <c r="IV26" s="7">
        <f>SUM(A26:IU26)</f>
        <v>44598600</v>
      </c>
    </row>
    <row r="27" spans="1:6" s="90" customFormat="1" ht="25.5" customHeight="1">
      <c r="A27" s="177">
        <v>10100000000</v>
      </c>
      <c r="B27" s="423" t="s">
        <v>314</v>
      </c>
      <c r="C27" s="424"/>
      <c r="D27" s="424"/>
      <c r="E27" s="425"/>
      <c r="F27" s="109">
        <f>додаток1!D100</f>
        <v>3558400</v>
      </c>
    </row>
    <row r="28" spans="1:6" s="7" customFormat="1" ht="33.75" customHeight="1">
      <c r="A28" s="106">
        <f>додаток1!A103</f>
        <v>41051000</v>
      </c>
      <c r="B28" s="420" t="str">
        <f>додаток1!B103</f>
        <v>Субвенція з місцевого бюджету на здійснення переданих видатків у сфері освіти за рахунок коштів освітньої субвенції</v>
      </c>
      <c r="C28" s="421"/>
      <c r="D28" s="421"/>
      <c r="E28" s="422"/>
      <c r="F28" s="107">
        <f>F29</f>
        <v>2998091</v>
      </c>
    </row>
    <row r="29" spans="1:6" s="90" customFormat="1" ht="24" customHeight="1">
      <c r="A29" s="177">
        <v>10100000000</v>
      </c>
      <c r="B29" s="423" t="s">
        <v>314</v>
      </c>
      <c r="C29" s="424"/>
      <c r="D29" s="424"/>
      <c r="E29" s="425"/>
      <c r="F29" s="109">
        <f>додаток1!D103</f>
        <v>2998091</v>
      </c>
    </row>
    <row r="30" spans="1:6" s="7" customFormat="1" ht="45.75" customHeight="1">
      <c r="A30" s="106">
        <f>додаток1!A105</f>
        <v>41051200</v>
      </c>
      <c r="B30" s="420" t="str">
        <f>додаток1!B105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21"/>
      <c r="D30" s="421"/>
      <c r="E30" s="422"/>
      <c r="F30" s="107">
        <f>F31</f>
        <v>1101656</v>
      </c>
    </row>
    <row r="31" spans="1:6" s="90" customFormat="1" ht="24.75" customHeight="1">
      <c r="A31" s="177">
        <v>10100000000</v>
      </c>
      <c r="B31" s="423" t="s">
        <v>314</v>
      </c>
      <c r="C31" s="424"/>
      <c r="D31" s="424"/>
      <c r="E31" s="425"/>
      <c r="F31" s="109">
        <f>додаток1!D105</f>
        <v>1101656</v>
      </c>
    </row>
    <row r="32" spans="1:6" s="90" customFormat="1" ht="51" customHeight="1">
      <c r="A32" s="106">
        <f>додаток1!A106</f>
        <v>41051400</v>
      </c>
      <c r="B32" s="420" t="str">
        <f>додаток1!B106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21"/>
      <c r="D32" s="421"/>
      <c r="E32" s="422"/>
      <c r="F32" s="107">
        <f>F33</f>
        <v>1347698</v>
      </c>
    </row>
    <row r="33" spans="1:6" s="90" customFormat="1" ht="24.75" customHeight="1">
      <c r="A33" s="177">
        <v>10100000000</v>
      </c>
      <c r="B33" s="423" t="s">
        <v>314</v>
      </c>
      <c r="C33" s="424"/>
      <c r="D33" s="424"/>
      <c r="E33" s="425"/>
      <c r="F33" s="109">
        <f>додаток1!D106</f>
        <v>1347698</v>
      </c>
    </row>
    <row r="34" spans="1:6" s="90" customFormat="1" ht="57.75" customHeight="1">
      <c r="A34" s="106">
        <f>додаток1!A108</f>
        <v>41051700</v>
      </c>
      <c r="B34" s="420" t="str">
        <f>додаток1!B108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21"/>
      <c r="D34" s="421"/>
      <c r="E34" s="422"/>
      <c r="F34" s="107">
        <f>F35</f>
        <v>191106</v>
      </c>
    </row>
    <row r="35" spans="1:6" s="90" customFormat="1" ht="24.75" customHeight="1">
      <c r="A35" s="177">
        <v>10100000000</v>
      </c>
      <c r="B35" s="423" t="s">
        <v>314</v>
      </c>
      <c r="C35" s="424"/>
      <c r="D35" s="424"/>
      <c r="E35" s="425"/>
      <c r="F35" s="109">
        <f>додаток1!D108</f>
        <v>191106</v>
      </c>
    </row>
    <row r="36" spans="1:6" s="191" customFormat="1" ht="19.5" customHeight="1">
      <c r="A36" s="189">
        <v>41053900</v>
      </c>
      <c r="B36" s="426" t="s">
        <v>94</v>
      </c>
      <c r="C36" s="427"/>
      <c r="D36" s="427"/>
      <c r="E36" s="428"/>
      <c r="F36" s="190">
        <f>F37</f>
        <v>5800000</v>
      </c>
    </row>
    <row r="37" spans="1:6" s="90" customFormat="1" ht="20.25" customHeight="1">
      <c r="A37" s="177">
        <v>10100000000</v>
      </c>
      <c r="B37" s="423" t="s">
        <v>314</v>
      </c>
      <c r="C37" s="424"/>
      <c r="D37" s="424"/>
      <c r="E37" s="425"/>
      <c r="F37" s="109">
        <f>додаток1!D109</f>
        <v>5800000</v>
      </c>
    </row>
    <row r="38" spans="1:6" s="7" customFormat="1" ht="46.5" customHeight="1">
      <c r="A38" s="180">
        <v>41055000</v>
      </c>
      <c r="B38" s="420" t="s">
        <v>96</v>
      </c>
      <c r="C38" s="429"/>
      <c r="D38" s="429"/>
      <c r="E38" s="430"/>
      <c r="F38" s="107">
        <f>F39</f>
        <v>1052100</v>
      </c>
    </row>
    <row r="39" spans="1:6" s="90" customFormat="1" ht="20.25" customHeight="1">
      <c r="A39" s="177">
        <v>10100000000</v>
      </c>
      <c r="B39" s="423" t="s">
        <v>314</v>
      </c>
      <c r="C39" s="424"/>
      <c r="D39" s="424"/>
      <c r="E39" s="425"/>
      <c r="F39" s="109">
        <f>додаток1!D111</f>
        <v>1052100</v>
      </c>
    </row>
    <row r="40" spans="1:6" s="90" customFormat="1" ht="24" customHeight="1">
      <c r="A40" s="385" t="s">
        <v>315</v>
      </c>
      <c r="B40" s="386"/>
      <c r="C40" s="386"/>
      <c r="D40" s="386"/>
      <c r="E40" s="386"/>
      <c r="F40" s="387"/>
    </row>
    <row r="41" spans="1:6" s="7" customFormat="1" ht="22.5" customHeight="1">
      <c r="A41" s="106">
        <f>додаток1!A109</f>
        <v>41053900</v>
      </c>
      <c r="B41" s="420" t="str">
        <f>додаток1!B109</f>
        <v>Інші субвенції з місцевого бюджету </v>
      </c>
      <c r="C41" s="421"/>
      <c r="D41" s="421"/>
      <c r="E41" s="422"/>
      <c r="F41" s="107">
        <f>F42</f>
        <v>2082140</v>
      </c>
    </row>
    <row r="42" spans="1:6" s="90" customFormat="1" ht="22.5" customHeight="1">
      <c r="A42" s="177">
        <v>10100000000</v>
      </c>
      <c r="B42" s="423" t="s">
        <v>314</v>
      </c>
      <c r="C42" s="424"/>
      <c r="D42" s="424"/>
      <c r="E42" s="425"/>
      <c r="F42" s="109">
        <f>додаток1!E109</f>
        <v>2082140</v>
      </c>
    </row>
    <row r="43" spans="1:6" s="90" customFormat="1" ht="22.5" customHeight="1" hidden="1">
      <c r="A43" s="177"/>
      <c r="B43" s="423"/>
      <c r="C43" s="424"/>
      <c r="D43" s="424"/>
      <c r="E43" s="425"/>
      <c r="F43" s="109"/>
    </row>
    <row r="44" spans="1:6" s="90" customFormat="1" ht="22.5" customHeight="1" hidden="1">
      <c r="A44" s="177"/>
      <c r="B44" s="423"/>
      <c r="C44" s="424"/>
      <c r="D44" s="424"/>
      <c r="E44" s="425"/>
      <c r="F44" s="109"/>
    </row>
    <row r="45" spans="1:6" s="90" customFormat="1" ht="22.5" customHeight="1" hidden="1">
      <c r="A45" s="177"/>
      <c r="B45" s="423"/>
      <c r="C45" s="424"/>
      <c r="D45" s="424"/>
      <c r="E45" s="425"/>
      <c r="F45" s="109"/>
    </row>
    <row r="46" spans="1:6" s="7" customFormat="1" ht="22.5" customHeight="1">
      <c r="A46" s="106" t="s">
        <v>99</v>
      </c>
      <c r="B46" s="420" t="s">
        <v>318</v>
      </c>
      <c r="C46" s="421"/>
      <c r="D46" s="421"/>
      <c r="E46" s="422"/>
      <c r="F46" s="107">
        <f>F47+F48</f>
        <v>129569526</v>
      </c>
    </row>
    <row r="47" spans="1:7" s="7" customFormat="1" ht="22.5" customHeight="1">
      <c r="A47" s="106" t="s">
        <v>99</v>
      </c>
      <c r="B47" s="420" t="s">
        <v>319</v>
      </c>
      <c r="C47" s="421"/>
      <c r="D47" s="421"/>
      <c r="E47" s="422"/>
      <c r="F47" s="107">
        <f>F16+F18+F20+F24+F26+F28+F30+F32+F34+F36+F38+F22</f>
        <v>127487386</v>
      </c>
      <c r="G47" s="112">
        <f>F47-додаток1!D89</f>
        <v>0</v>
      </c>
    </row>
    <row r="48" spans="1:7" s="7" customFormat="1" ht="22.5" customHeight="1">
      <c r="A48" s="106" t="s">
        <v>99</v>
      </c>
      <c r="B48" s="420" t="s">
        <v>320</v>
      </c>
      <c r="C48" s="421"/>
      <c r="D48" s="421"/>
      <c r="E48" s="422"/>
      <c r="F48" s="107">
        <f>F42</f>
        <v>2082140</v>
      </c>
      <c r="G48" s="112">
        <f>F48-додаток1!E89</f>
        <v>0</v>
      </c>
    </row>
    <row r="49" spans="1:6" s="90" customFormat="1" ht="15.75" customHeight="1">
      <c r="A49" s="103"/>
      <c r="F49" s="212">
        <f>F46-додаток1!C89</f>
        <v>0</v>
      </c>
    </row>
    <row r="50" spans="1:6" s="89" customFormat="1" ht="15.75" customHeight="1">
      <c r="A50" s="416" t="s">
        <v>321</v>
      </c>
      <c r="B50" s="416"/>
      <c r="C50" s="416"/>
      <c r="D50" s="416"/>
      <c r="E50" s="416"/>
      <c r="F50" s="416"/>
    </row>
    <row r="51" s="90" customFormat="1" ht="15.75">
      <c r="A51" s="103"/>
    </row>
    <row r="52" spans="1:6" s="95" customFormat="1" ht="78.75" customHeight="1">
      <c r="A52" s="113" t="s">
        <v>322</v>
      </c>
      <c r="B52" s="104" t="s">
        <v>125</v>
      </c>
      <c r="C52" s="437" t="s">
        <v>323</v>
      </c>
      <c r="D52" s="438"/>
      <c r="E52" s="439"/>
      <c r="F52" s="114" t="s">
        <v>6</v>
      </c>
    </row>
    <row r="53" spans="1:6" s="96" customFormat="1" ht="15.75">
      <c r="A53" s="106">
        <v>1</v>
      </c>
      <c r="B53" s="106">
        <v>2</v>
      </c>
      <c r="C53" s="388">
        <v>3</v>
      </c>
      <c r="D53" s="389"/>
      <c r="E53" s="390"/>
      <c r="F53" s="106">
        <v>4</v>
      </c>
    </row>
    <row r="54" spans="1:6" s="90" customFormat="1" ht="15.75">
      <c r="A54" s="385" t="s">
        <v>324</v>
      </c>
      <c r="B54" s="386"/>
      <c r="C54" s="386"/>
      <c r="D54" s="386"/>
      <c r="E54" s="386"/>
      <c r="F54" s="387"/>
    </row>
    <row r="55" spans="1:6" s="7" customFormat="1" ht="15.75">
      <c r="A55" s="115"/>
      <c r="B55" s="116"/>
      <c r="C55" s="446" t="s">
        <v>316</v>
      </c>
      <c r="D55" s="447"/>
      <c r="E55" s="448"/>
      <c r="F55" s="116">
        <v>0</v>
      </c>
    </row>
    <row r="56" spans="1:6" s="90" customFormat="1" ht="15.75">
      <c r="A56" s="117"/>
      <c r="B56" s="118"/>
      <c r="C56" s="434" t="s">
        <v>317</v>
      </c>
      <c r="D56" s="435"/>
      <c r="E56" s="436"/>
      <c r="F56" s="118">
        <v>0</v>
      </c>
    </row>
    <row r="57" spans="1:6" s="90" customFormat="1" ht="15.75">
      <c r="A57" s="385" t="s">
        <v>325</v>
      </c>
      <c r="B57" s="386"/>
      <c r="C57" s="386"/>
      <c r="D57" s="386"/>
      <c r="E57" s="386"/>
      <c r="F57" s="387"/>
    </row>
    <row r="58" spans="1:6" s="7" customFormat="1" ht="29.25" customHeight="1">
      <c r="A58" s="115">
        <v>3719750</v>
      </c>
      <c r="B58" s="115">
        <v>9750</v>
      </c>
      <c r="C58" s="431" t="s">
        <v>499</v>
      </c>
      <c r="D58" s="432"/>
      <c r="E58" s="433"/>
      <c r="F58" s="361">
        <f>F59</f>
        <v>2049584</v>
      </c>
    </row>
    <row r="59" spans="1:6" s="90" customFormat="1" ht="15.75">
      <c r="A59" s="177">
        <v>10100000000</v>
      </c>
      <c r="B59" s="118"/>
      <c r="C59" s="434" t="s">
        <v>314</v>
      </c>
      <c r="D59" s="435"/>
      <c r="E59" s="436"/>
      <c r="F59" s="362">
        <f>'Додаток 3'!J107</f>
        <v>2049584</v>
      </c>
    </row>
    <row r="60" spans="1:6" s="90" customFormat="1" ht="15.75">
      <c r="A60" s="106" t="s">
        <v>99</v>
      </c>
      <c r="B60" s="420" t="s">
        <v>318</v>
      </c>
      <c r="C60" s="421"/>
      <c r="D60" s="421"/>
      <c r="E60" s="422"/>
      <c r="F60" s="107">
        <f>F61+F62</f>
        <v>2049584</v>
      </c>
    </row>
    <row r="61" spans="1:6" s="90" customFormat="1" ht="15.75">
      <c r="A61" s="106" t="s">
        <v>99</v>
      </c>
      <c r="B61" s="420" t="s">
        <v>319</v>
      </c>
      <c r="C61" s="421"/>
      <c r="D61" s="421"/>
      <c r="E61" s="422"/>
      <c r="F61" s="107">
        <f>F55</f>
        <v>0</v>
      </c>
    </row>
    <row r="62" spans="1:6" s="90" customFormat="1" ht="15.75">
      <c r="A62" s="106" t="s">
        <v>99</v>
      </c>
      <c r="B62" s="420" t="s">
        <v>320</v>
      </c>
      <c r="C62" s="421"/>
      <c r="D62" s="421"/>
      <c r="E62" s="422"/>
      <c r="F62" s="107">
        <f>F58</f>
        <v>2049584</v>
      </c>
    </row>
    <row r="63" s="90" customFormat="1" ht="15.75">
      <c r="A63" s="103"/>
    </row>
    <row r="64" spans="1:6" s="7" customFormat="1" ht="15.75">
      <c r="A64" s="440" t="str">
        <f>додаток1!A116</f>
        <v>Секретар ради                                                                        Наталія  ІВАНЮТА</v>
      </c>
      <c r="B64" s="440"/>
      <c r="C64" s="440"/>
      <c r="D64" s="440"/>
      <c r="E64" s="440"/>
      <c r="F64" s="440"/>
    </row>
    <row r="65" s="90" customFormat="1" ht="15.75">
      <c r="A65" s="103"/>
    </row>
    <row r="66" s="90" customFormat="1" ht="15.75">
      <c r="A66" s="103"/>
    </row>
    <row r="67" s="90" customFormat="1" ht="15.75">
      <c r="A67" s="103"/>
    </row>
    <row r="68" s="90" customFormat="1" ht="15.75">
      <c r="A68" s="103"/>
    </row>
    <row r="69" s="90" customFormat="1" ht="15.75">
      <c r="A69" s="103"/>
    </row>
    <row r="70" s="90" customFormat="1" ht="15.75">
      <c r="A70" s="103"/>
    </row>
    <row r="71" s="90" customFormat="1" ht="15.75">
      <c r="A71" s="103"/>
    </row>
    <row r="72" s="90" customFormat="1" ht="15.75">
      <c r="A72" s="103"/>
    </row>
    <row r="73" s="90" customFormat="1" ht="15.75">
      <c r="A73" s="103"/>
    </row>
    <row r="74" s="90" customFormat="1" ht="15.75">
      <c r="A74" s="103"/>
    </row>
    <row r="75" s="90" customFormat="1" ht="15.75">
      <c r="A75" s="103"/>
    </row>
    <row r="76" s="90" customFormat="1" ht="15.75">
      <c r="A76" s="103"/>
    </row>
    <row r="77" s="90" customFormat="1" ht="15.75">
      <c r="A77" s="103"/>
    </row>
    <row r="78" s="90" customFormat="1" ht="15.75">
      <c r="A78" s="103"/>
    </row>
    <row r="79" s="90" customFormat="1" ht="15.75">
      <c r="A79" s="103"/>
    </row>
    <row r="80" s="90" customFormat="1" ht="15.75">
      <c r="A80" s="103"/>
    </row>
    <row r="81" s="90" customFormat="1" ht="15.75">
      <c r="A81" s="103"/>
    </row>
  </sheetData>
  <sheetProtection/>
  <mergeCells count="58">
    <mergeCell ref="B22:E22"/>
    <mergeCell ref="B23:E23"/>
    <mergeCell ref="B61:E61"/>
    <mergeCell ref="B62:E62"/>
    <mergeCell ref="A64:F64"/>
    <mergeCell ref="A12:A13"/>
    <mergeCell ref="F12:F13"/>
    <mergeCell ref="B12:E13"/>
    <mergeCell ref="C55:E55"/>
    <mergeCell ref="C56:E56"/>
    <mergeCell ref="A57:F57"/>
    <mergeCell ref="C58:E58"/>
    <mergeCell ref="C59:E59"/>
    <mergeCell ref="B60:E60"/>
    <mergeCell ref="B47:E47"/>
    <mergeCell ref="B48:E48"/>
    <mergeCell ref="A50:F50"/>
    <mergeCell ref="C52:E52"/>
    <mergeCell ref="C53:E53"/>
    <mergeCell ref="A54:F54"/>
    <mergeCell ref="B41:E41"/>
    <mergeCell ref="B42:E42"/>
    <mergeCell ref="B43:E43"/>
    <mergeCell ref="B44:E44"/>
    <mergeCell ref="B45:E45"/>
    <mergeCell ref="B46:E46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19:E19"/>
    <mergeCell ref="B26:E26"/>
    <mergeCell ref="B27:E27"/>
    <mergeCell ref="B28:E28"/>
    <mergeCell ref="B29:E29"/>
    <mergeCell ref="B30:E30"/>
    <mergeCell ref="B20:E20"/>
    <mergeCell ref="B21:E21"/>
    <mergeCell ref="B24:E24"/>
    <mergeCell ref="B25:E25"/>
    <mergeCell ref="A10:F10"/>
    <mergeCell ref="B14:E14"/>
    <mergeCell ref="A15:F15"/>
    <mergeCell ref="B16:E16"/>
    <mergeCell ref="B17:E17"/>
    <mergeCell ref="B18:E18"/>
    <mergeCell ref="E1:F1"/>
    <mergeCell ref="E2:F2"/>
    <mergeCell ref="E3:F3"/>
    <mergeCell ref="D4:F4"/>
    <mergeCell ref="C5:F5"/>
    <mergeCell ref="A6:F6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Zeros="0" zoomScale="70" zoomScaleNormal="70" workbookViewId="0" topLeftCell="F13">
      <selection activeCell="O11" sqref="O11"/>
    </sheetView>
  </sheetViews>
  <sheetFormatPr defaultColWidth="8.875" defaultRowHeight="12.75"/>
  <cols>
    <col min="1" max="1" width="17.125" style="70" customWidth="1"/>
    <col min="2" max="2" width="16.25390625" style="70" customWidth="1"/>
    <col min="3" max="3" width="16.125" style="70" customWidth="1"/>
    <col min="4" max="4" width="83.375" style="71" customWidth="1"/>
    <col min="5" max="5" width="92.875" style="72" customWidth="1"/>
    <col min="6" max="6" width="18.125" style="72" customWidth="1"/>
    <col min="7" max="8" width="16.375" style="72" customWidth="1"/>
    <col min="9" max="9" width="21.00390625" style="72" customWidth="1"/>
    <col min="10" max="10" width="20.25390625" style="72" customWidth="1"/>
    <col min="11" max="11" width="14.375" style="13" customWidth="1"/>
    <col min="12" max="16384" width="8.875" style="13" customWidth="1"/>
  </cols>
  <sheetData>
    <row r="1" spans="6:10" ht="20.25">
      <c r="F1" s="450" t="s">
        <v>326</v>
      </c>
      <c r="G1" s="450"/>
      <c r="H1" s="450"/>
      <c r="I1" s="450"/>
      <c r="J1" s="450"/>
    </row>
    <row r="2" spans="1:10" ht="20.25">
      <c r="A2" s="73"/>
      <c r="D2" s="70"/>
      <c r="F2" s="450" t="str">
        <f>додаток1!D2</f>
        <v>до  рішення сесії Тетіївської міської ради</v>
      </c>
      <c r="G2" s="450"/>
      <c r="H2" s="450"/>
      <c r="I2" s="450"/>
      <c r="J2" s="450"/>
    </row>
    <row r="3" spans="4:10" ht="42.75" customHeight="1">
      <c r="D3" s="70"/>
      <c r="F3" s="451" t="str">
        <f>додаток1!D3</f>
        <v>"Про бюджет Тетіївської міської територіальної громади на 2021 рік" від 24.12.2020.№ 39-02-VIII</v>
      </c>
      <c r="G3" s="451"/>
      <c r="H3" s="451"/>
      <c r="I3" s="451"/>
      <c r="J3" s="451"/>
    </row>
    <row r="4" spans="4:10" ht="20.25">
      <c r="D4" s="70"/>
      <c r="F4" s="450" t="str">
        <f>додаток1!C4</f>
        <v>(в редакції проекту сесії міської ради від 28.09.2021 № -10-VІІ)</v>
      </c>
      <c r="G4" s="450"/>
      <c r="H4" s="450"/>
      <c r="I4" s="450"/>
      <c r="J4" s="450"/>
    </row>
    <row r="5" spans="4:10" ht="20.25">
      <c r="D5" s="70"/>
      <c r="F5" s="450">
        <f>додаток1!C5</f>
        <v>0</v>
      </c>
      <c r="G5" s="450"/>
      <c r="H5" s="450"/>
      <c r="I5" s="450"/>
      <c r="J5" s="450"/>
    </row>
    <row r="6" spans="1:10" s="62" customFormat="1" ht="67.5" customHeight="1">
      <c r="A6" s="74"/>
      <c r="B6" s="74"/>
      <c r="C6" s="452" t="s">
        <v>447</v>
      </c>
      <c r="D6" s="452"/>
      <c r="E6" s="452"/>
      <c r="F6" s="452"/>
      <c r="G6" s="452"/>
      <c r="H6" s="452"/>
      <c r="I6" s="85"/>
      <c r="J6" s="85"/>
    </row>
    <row r="7" spans="1:10" s="62" customFormat="1" ht="27" customHeight="1">
      <c r="A7" s="405">
        <f>додаток1!A8</f>
        <v>10508000000</v>
      </c>
      <c r="B7" s="405"/>
      <c r="C7" s="75"/>
      <c r="D7" s="75"/>
      <c r="E7" s="75"/>
      <c r="F7" s="75"/>
      <c r="G7" s="75"/>
      <c r="H7" s="75"/>
      <c r="I7" s="75"/>
      <c r="J7" s="75"/>
    </row>
    <row r="8" spans="1:10" s="1" customFormat="1" ht="24" customHeight="1">
      <c r="A8" s="373" t="s">
        <v>2</v>
      </c>
      <c r="B8" s="373"/>
      <c r="C8" s="76"/>
      <c r="D8" s="76"/>
      <c r="E8" s="77"/>
      <c r="F8" s="77"/>
      <c r="G8" s="77"/>
      <c r="H8" s="77"/>
      <c r="I8" s="77"/>
      <c r="J8" s="77"/>
    </row>
    <row r="9" spans="1:10" s="8" customFormat="1" ht="20.25">
      <c r="A9" s="78"/>
      <c r="B9" s="78"/>
      <c r="C9" s="78"/>
      <c r="D9" s="79"/>
      <c r="E9" s="80"/>
      <c r="F9" s="80"/>
      <c r="G9" s="80"/>
      <c r="H9" s="80"/>
      <c r="I9" s="80"/>
      <c r="J9" s="86" t="s">
        <v>3</v>
      </c>
    </row>
    <row r="10" spans="1:14" s="63" customFormat="1" ht="140.25" customHeight="1">
      <c r="A10" s="29" t="s">
        <v>124</v>
      </c>
      <c r="B10" s="29" t="s">
        <v>125</v>
      </c>
      <c r="C10" s="28" t="s">
        <v>126</v>
      </c>
      <c r="D10" s="30" t="s">
        <v>127</v>
      </c>
      <c r="E10" s="30" t="s">
        <v>327</v>
      </c>
      <c r="F10" s="30" t="s">
        <v>328</v>
      </c>
      <c r="G10" s="30" t="s">
        <v>329</v>
      </c>
      <c r="H10" s="30" t="s">
        <v>330</v>
      </c>
      <c r="I10" s="30" t="s">
        <v>331</v>
      </c>
      <c r="J10" s="30" t="s">
        <v>332</v>
      </c>
      <c r="K10" s="356" t="s">
        <v>333</v>
      </c>
      <c r="L10" s="357"/>
      <c r="M10" s="357"/>
      <c r="N10" s="358"/>
    </row>
    <row r="11" spans="1:10" s="64" customFormat="1" ht="30.75" customHeight="1">
      <c r="A11" s="81" t="s">
        <v>334</v>
      </c>
      <c r="B11" s="81" t="s">
        <v>335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7">
        <v>10</v>
      </c>
    </row>
    <row r="12" spans="1:12" s="65" customFormat="1" ht="31.5" customHeight="1">
      <c r="A12" s="255" t="s">
        <v>137</v>
      </c>
      <c r="B12" s="255"/>
      <c r="C12" s="256"/>
      <c r="D12" s="257" t="s">
        <v>138</v>
      </c>
      <c r="E12" s="258"/>
      <c r="F12" s="259"/>
      <c r="G12" s="260"/>
      <c r="H12" s="260"/>
      <c r="I12" s="260">
        <f>I13</f>
        <v>14650731.6</v>
      </c>
      <c r="J12" s="261">
        <f>J13</f>
        <v>0</v>
      </c>
      <c r="K12" s="359"/>
      <c r="L12" s="360"/>
    </row>
    <row r="13" spans="1:11" s="65" customFormat="1" ht="31.5" customHeight="1">
      <c r="A13" s="262" t="s">
        <v>139</v>
      </c>
      <c r="B13" s="255"/>
      <c r="C13" s="256"/>
      <c r="D13" s="257" t="s">
        <v>138</v>
      </c>
      <c r="E13" s="258"/>
      <c r="F13" s="259"/>
      <c r="G13" s="260"/>
      <c r="H13" s="260"/>
      <c r="I13" s="260">
        <f>I14+I17+I23</f>
        <v>14650731.6</v>
      </c>
      <c r="J13" s="261">
        <f>SUM(J21:J21)</f>
        <v>0</v>
      </c>
      <c r="K13" s="66"/>
    </row>
    <row r="14" spans="1:11" s="65" customFormat="1" ht="31.5" customHeight="1">
      <c r="A14" s="263"/>
      <c r="B14" s="264" t="s">
        <v>382</v>
      </c>
      <c r="C14" s="265"/>
      <c r="D14" s="266" t="s">
        <v>383</v>
      </c>
      <c r="E14" s="267"/>
      <c r="F14" s="268"/>
      <c r="G14" s="269"/>
      <c r="H14" s="269"/>
      <c r="I14" s="269">
        <f>I15</f>
        <v>594000</v>
      </c>
      <c r="J14" s="270"/>
      <c r="K14" s="66"/>
    </row>
    <row r="15" spans="1:10" s="215" customFormat="1" ht="89.25" customHeight="1">
      <c r="A15" s="233" t="s">
        <v>140</v>
      </c>
      <c r="B15" s="233" t="s">
        <v>141</v>
      </c>
      <c r="C15" s="233" t="s">
        <v>142</v>
      </c>
      <c r="D15" s="234" t="s">
        <v>143</v>
      </c>
      <c r="E15" s="232"/>
      <c r="F15" s="213"/>
      <c r="G15" s="247"/>
      <c r="H15" s="247"/>
      <c r="I15" s="247">
        <f>I16</f>
        <v>594000</v>
      </c>
      <c r="J15" s="214"/>
    </row>
    <row r="16" spans="1:10" s="218" customFormat="1" ht="38.25" customHeight="1">
      <c r="A16" s="235"/>
      <c r="B16" s="235"/>
      <c r="C16" s="235"/>
      <c r="D16" s="236"/>
      <c r="E16" s="237" t="s">
        <v>448</v>
      </c>
      <c r="F16" s="216" t="s">
        <v>449</v>
      </c>
      <c r="G16" s="248">
        <v>594000</v>
      </c>
      <c r="H16" s="248">
        <v>0</v>
      </c>
      <c r="I16" s="248">
        <v>594000</v>
      </c>
      <c r="J16" s="217">
        <v>100</v>
      </c>
    </row>
    <row r="17" spans="1:10" s="215" customFormat="1" ht="31.5" customHeight="1">
      <c r="A17" s="263"/>
      <c r="B17" s="263" t="s">
        <v>400</v>
      </c>
      <c r="C17" s="263"/>
      <c r="D17" s="267" t="s">
        <v>401</v>
      </c>
      <c r="E17" s="267"/>
      <c r="F17" s="268"/>
      <c r="G17" s="269"/>
      <c r="H17" s="269"/>
      <c r="I17" s="269">
        <f>I18+I21</f>
        <v>1345320</v>
      </c>
      <c r="J17" s="270"/>
    </row>
    <row r="18" spans="1:10" s="215" customFormat="1" ht="31.5" customHeight="1">
      <c r="A18" s="233" t="s">
        <v>179</v>
      </c>
      <c r="B18" s="233" t="s">
        <v>180</v>
      </c>
      <c r="C18" s="233" t="s">
        <v>177</v>
      </c>
      <c r="D18" s="234" t="s">
        <v>181</v>
      </c>
      <c r="E18" s="232"/>
      <c r="F18" s="213"/>
      <c r="G18" s="247"/>
      <c r="H18" s="247"/>
      <c r="I18" s="247">
        <f>SUM(I19:I20)</f>
        <v>1045320</v>
      </c>
      <c r="J18" s="214"/>
    </row>
    <row r="19" spans="1:10" s="218" customFormat="1" ht="25.5" customHeight="1">
      <c r="A19" s="235"/>
      <c r="B19" s="235"/>
      <c r="C19" s="235"/>
      <c r="D19" s="236"/>
      <c r="E19" s="246" t="s">
        <v>450</v>
      </c>
      <c r="F19" s="216" t="s">
        <v>449</v>
      </c>
      <c r="G19" s="248">
        <v>565320</v>
      </c>
      <c r="H19" s="248"/>
      <c r="I19" s="248">
        <v>565320</v>
      </c>
      <c r="J19" s="217">
        <v>100</v>
      </c>
    </row>
    <row r="20" spans="1:10" s="218" customFormat="1" ht="25.5" customHeight="1">
      <c r="A20" s="235"/>
      <c r="B20" s="238"/>
      <c r="C20" s="238"/>
      <c r="D20" s="232"/>
      <c r="E20" s="246" t="s">
        <v>451</v>
      </c>
      <c r="F20" s="216" t="s">
        <v>449</v>
      </c>
      <c r="G20" s="248">
        <v>480000</v>
      </c>
      <c r="H20" s="248"/>
      <c r="I20" s="248">
        <v>480000</v>
      </c>
      <c r="J20" s="217">
        <v>100</v>
      </c>
    </row>
    <row r="21" spans="1:10" s="215" customFormat="1" ht="42" customHeight="1">
      <c r="A21" s="220" t="s">
        <v>182</v>
      </c>
      <c r="B21" s="220" t="s">
        <v>183</v>
      </c>
      <c r="C21" s="220" t="s">
        <v>184</v>
      </c>
      <c r="D21" s="221" t="s">
        <v>185</v>
      </c>
      <c r="E21" s="222"/>
      <c r="F21" s="213"/>
      <c r="G21" s="247"/>
      <c r="H21" s="247"/>
      <c r="I21" s="247">
        <f>SUM(I22)</f>
        <v>300000</v>
      </c>
      <c r="J21" s="214"/>
    </row>
    <row r="22" spans="1:10" s="66" customFormat="1" ht="42" customHeight="1">
      <c r="A22" s="223"/>
      <c r="B22" s="223"/>
      <c r="C22" s="223"/>
      <c r="D22" s="224"/>
      <c r="E22" s="225" t="s">
        <v>185</v>
      </c>
      <c r="F22" s="216" t="s">
        <v>449</v>
      </c>
      <c r="G22" s="248">
        <v>300000</v>
      </c>
      <c r="H22" s="248"/>
      <c r="I22" s="248">
        <v>300000</v>
      </c>
      <c r="J22" s="217">
        <v>100</v>
      </c>
    </row>
    <row r="23" spans="1:10" s="215" customFormat="1" ht="42" customHeight="1">
      <c r="A23" s="264"/>
      <c r="B23" s="198" t="s">
        <v>402</v>
      </c>
      <c r="C23" s="198"/>
      <c r="D23" s="202" t="s">
        <v>403</v>
      </c>
      <c r="E23" s="271"/>
      <c r="F23" s="268"/>
      <c r="G23" s="269"/>
      <c r="H23" s="269"/>
      <c r="I23" s="269">
        <f>I24+I26+I31+I33+I35+I37</f>
        <v>12711411.6</v>
      </c>
      <c r="J23" s="270"/>
    </row>
    <row r="24" spans="1:10" s="215" customFormat="1" ht="31.5" customHeight="1">
      <c r="A24" s="220" t="s">
        <v>353</v>
      </c>
      <c r="B24" s="220" t="s">
        <v>354</v>
      </c>
      <c r="C24" s="220" t="s">
        <v>355</v>
      </c>
      <c r="D24" s="221" t="s">
        <v>356</v>
      </c>
      <c r="E24" s="222"/>
      <c r="F24" s="213"/>
      <c r="G24" s="247"/>
      <c r="H24" s="247"/>
      <c r="I24" s="247">
        <f>I25</f>
        <v>1250000</v>
      </c>
      <c r="J24" s="214"/>
    </row>
    <row r="25" spans="1:10" s="66" customFormat="1" ht="31.5" customHeight="1">
      <c r="A25" s="223"/>
      <c r="B25" s="223"/>
      <c r="C25" s="223"/>
      <c r="D25" s="224"/>
      <c r="E25" s="225" t="s">
        <v>452</v>
      </c>
      <c r="F25" s="216" t="s">
        <v>449</v>
      </c>
      <c r="G25" s="248">
        <v>1250000</v>
      </c>
      <c r="H25" s="248"/>
      <c r="I25" s="248">
        <v>1250000</v>
      </c>
      <c r="J25" s="217">
        <v>100</v>
      </c>
    </row>
    <row r="26" spans="1:10" s="215" customFormat="1" ht="54.75" customHeight="1">
      <c r="A26" s="233" t="s">
        <v>404</v>
      </c>
      <c r="B26" s="233" t="s">
        <v>405</v>
      </c>
      <c r="C26" s="233" t="s">
        <v>199</v>
      </c>
      <c r="D26" s="234" t="s">
        <v>406</v>
      </c>
      <c r="E26" s="222"/>
      <c r="F26" s="213"/>
      <c r="G26" s="247"/>
      <c r="H26" s="247"/>
      <c r="I26" s="247">
        <f>SUM(I27:I30)</f>
        <v>2589341.6</v>
      </c>
      <c r="J26" s="214"/>
    </row>
    <row r="27" spans="1:10" s="66" customFormat="1" ht="99.75" customHeight="1">
      <c r="A27" s="223"/>
      <c r="B27" s="223"/>
      <c r="C27" s="223"/>
      <c r="D27" s="224"/>
      <c r="E27" s="225" t="s">
        <v>453</v>
      </c>
      <c r="F27" s="216" t="s">
        <v>454</v>
      </c>
      <c r="G27" s="248">
        <v>89744.6</v>
      </c>
      <c r="H27" s="248"/>
      <c r="I27" s="248">
        <v>89744.6</v>
      </c>
      <c r="J27" s="217">
        <v>100</v>
      </c>
    </row>
    <row r="28" spans="1:10" s="66" customFormat="1" ht="85.5" customHeight="1">
      <c r="A28" s="223"/>
      <c r="B28" s="223"/>
      <c r="C28" s="223"/>
      <c r="D28" s="224"/>
      <c r="E28" s="225" t="s">
        <v>485</v>
      </c>
      <c r="F28" s="216" t="s">
        <v>449</v>
      </c>
      <c r="G28" s="248">
        <v>763597</v>
      </c>
      <c r="H28" s="248"/>
      <c r="I28" s="248">
        <v>763597</v>
      </c>
      <c r="J28" s="217">
        <v>100</v>
      </c>
    </row>
    <row r="29" spans="1:10" s="66" customFormat="1" ht="90" customHeight="1">
      <c r="A29" s="223"/>
      <c r="B29" s="223"/>
      <c r="C29" s="223"/>
      <c r="D29" s="224"/>
      <c r="E29" s="225" t="s">
        <v>490</v>
      </c>
      <c r="F29" s="216" t="s">
        <v>449</v>
      </c>
      <c r="G29" s="248">
        <v>136000</v>
      </c>
      <c r="H29" s="248"/>
      <c r="I29" s="248">
        <v>136000</v>
      </c>
      <c r="J29" s="217">
        <v>100</v>
      </c>
    </row>
    <row r="30" spans="1:10" s="66" customFormat="1" ht="68.25" customHeight="1">
      <c r="A30" s="223"/>
      <c r="B30" s="223"/>
      <c r="C30" s="223"/>
      <c r="D30" s="224"/>
      <c r="E30" s="225" t="s">
        <v>491</v>
      </c>
      <c r="F30" s="216" t="s">
        <v>449</v>
      </c>
      <c r="G30" s="248">
        <v>1600000</v>
      </c>
      <c r="H30" s="248"/>
      <c r="I30" s="248">
        <v>1600000</v>
      </c>
      <c r="J30" s="217">
        <v>100</v>
      </c>
    </row>
    <row r="31" spans="1:10" s="215" customFormat="1" ht="72" customHeight="1">
      <c r="A31" s="233" t="s">
        <v>407</v>
      </c>
      <c r="B31" s="233" t="s">
        <v>408</v>
      </c>
      <c r="C31" s="233" t="s">
        <v>199</v>
      </c>
      <c r="D31" s="234" t="s">
        <v>409</v>
      </c>
      <c r="E31" s="222"/>
      <c r="F31" s="213"/>
      <c r="G31" s="247"/>
      <c r="H31" s="247"/>
      <c r="I31" s="247">
        <f>SUM(I32)</f>
        <v>3533140</v>
      </c>
      <c r="J31" s="214"/>
    </row>
    <row r="32" spans="1:10" s="66" customFormat="1" ht="141" customHeight="1">
      <c r="A32" s="223"/>
      <c r="B32" s="223"/>
      <c r="C32" s="223"/>
      <c r="D32" s="224"/>
      <c r="E32" s="225" t="s">
        <v>455</v>
      </c>
      <c r="F32" s="216" t="s">
        <v>449</v>
      </c>
      <c r="G32" s="248">
        <v>3533140</v>
      </c>
      <c r="H32" s="248"/>
      <c r="I32" s="248">
        <v>3533140</v>
      </c>
      <c r="J32" s="217">
        <v>100</v>
      </c>
    </row>
    <row r="33" spans="1:10" s="215" customFormat="1" ht="54.75" customHeight="1">
      <c r="A33" s="233" t="s">
        <v>190</v>
      </c>
      <c r="B33" s="233" t="s">
        <v>191</v>
      </c>
      <c r="C33" s="233" t="s">
        <v>192</v>
      </c>
      <c r="D33" s="252" t="s">
        <v>193</v>
      </c>
      <c r="E33" s="222"/>
      <c r="F33" s="213"/>
      <c r="G33" s="247"/>
      <c r="H33" s="247"/>
      <c r="I33" s="247">
        <f>SUM(I34)</f>
        <v>333600</v>
      </c>
      <c r="J33" s="214"/>
    </row>
    <row r="34" spans="1:10" s="66" customFormat="1" ht="27.75" customHeight="1">
      <c r="A34" s="223"/>
      <c r="B34" s="223"/>
      <c r="C34" s="223"/>
      <c r="D34" s="224"/>
      <c r="E34" s="225" t="s">
        <v>456</v>
      </c>
      <c r="F34" s="216" t="s">
        <v>449</v>
      </c>
      <c r="G34" s="248">
        <v>333600</v>
      </c>
      <c r="H34" s="248"/>
      <c r="I34" s="248">
        <v>333600</v>
      </c>
      <c r="J34" s="217">
        <v>100</v>
      </c>
    </row>
    <row r="35" spans="1:10" s="215" customFormat="1" ht="60" customHeight="1">
      <c r="A35" s="233" t="s">
        <v>410</v>
      </c>
      <c r="B35" s="233" t="s">
        <v>411</v>
      </c>
      <c r="C35" s="233" t="s">
        <v>192</v>
      </c>
      <c r="D35" s="252" t="s">
        <v>412</v>
      </c>
      <c r="E35" s="222"/>
      <c r="F35" s="213"/>
      <c r="G35" s="247"/>
      <c r="H35" s="247"/>
      <c r="I35" s="247">
        <f>I36</f>
        <v>5000000</v>
      </c>
      <c r="J35" s="214"/>
    </row>
    <row r="36" spans="1:10" s="66" customFormat="1" ht="39.75" customHeight="1">
      <c r="A36" s="223"/>
      <c r="B36" s="223"/>
      <c r="C36" s="223"/>
      <c r="D36" s="224"/>
      <c r="E36" s="225" t="s">
        <v>484</v>
      </c>
      <c r="F36" s="216" t="s">
        <v>449</v>
      </c>
      <c r="G36" s="248">
        <v>5000000</v>
      </c>
      <c r="H36" s="248"/>
      <c r="I36" s="248">
        <v>5000000</v>
      </c>
      <c r="J36" s="217">
        <v>100</v>
      </c>
    </row>
    <row r="37" spans="1:10" s="215" customFormat="1" ht="43.5" customHeight="1">
      <c r="A37" s="233" t="s">
        <v>413</v>
      </c>
      <c r="B37" s="233" t="s">
        <v>414</v>
      </c>
      <c r="C37" s="233" t="s">
        <v>199</v>
      </c>
      <c r="D37" s="252" t="s">
        <v>415</v>
      </c>
      <c r="E37" s="222"/>
      <c r="F37" s="213"/>
      <c r="G37" s="247"/>
      <c r="H37" s="247"/>
      <c r="I37" s="247">
        <f>SUM(I38)</f>
        <v>5330</v>
      </c>
      <c r="J37" s="214"/>
    </row>
    <row r="38" spans="1:10" s="66" customFormat="1" ht="31.5" customHeight="1">
      <c r="A38" s="223"/>
      <c r="B38" s="223"/>
      <c r="C38" s="223"/>
      <c r="D38" s="224"/>
      <c r="E38" s="225" t="s">
        <v>457</v>
      </c>
      <c r="F38" s="216" t="s">
        <v>449</v>
      </c>
      <c r="G38" s="248">
        <v>5330</v>
      </c>
      <c r="H38" s="248"/>
      <c r="I38" s="248">
        <v>5330</v>
      </c>
      <c r="J38" s="217">
        <v>100</v>
      </c>
    </row>
    <row r="39" spans="1:10" s="66" customFormat="1" ht="42.75" customHeight="1">
      <c r="A39" s="255" t="s">
        <v>212</v>
      </c>
      <c r="B39" s="272"/>
      <c r="C39" s="272"/>
      <c r="D39" s="258" t="s">
        <v>425</v>
      </c>
      <c r="E39" s="258"/>
      <c r="F39" s="273"/>
      <c r="G39" s="274"/>
      <c r="H39" s="274"/>
      <c r="I39" s="260">
        <f>I40</f>
        <v>2209142</v>
      </c>
      <c r="J39" s="275"/>
    </row>
    <row r="40" spans="1:10" s="66" customFormat="1" ht="42.75" customHeight="1">
      <c r="A40" s="255" t="s">
        <v>213</v>
      </c>
      <c r="B40" s="272"/>
      <c r="C40" s="272"/>
      <c r="D40" s="258" t="s">
        <v>425</v>
      </c>
      <c r="E40" s="258"/>
      <c r="F40" s="273"/>
      <c r="G40" s="274"/>
      <c r="H40" s="274"/>
      <c r="I40" s="260">
        <f>I41+I55</f>
        <v>2209142</v>
      </c>
      <c r="J40" s="275"/>
    </row>
    <row r="41" spans="1:10" s="215" customFormat="1" ht="42.75" customHeight="1">
      <c r="A41" s="264"/>
      <c r="B41" s="263" t="s">
        <v>426</v>
      </c>
      <c r="C41" s="263"/>
      <c r="D41" s="267" t="s">
        <v>427</v>
      </c>
      <c r="E41" s="267"/>
      <c r="F41" s="268"/>
      <c r="G41" s="269"/>
      <c r="H41" s="269"/>
      <c r="I41" s="269">
        <f>I44+I51+I53+I46+I49+I42</f>
        <v>1854704</v>
      </c>
      <c r="J41" s="270"/>
    </row>
    <row r="42" spans="1:10" s="215" customFormat="1" ht="42.75" customHeight="1">
      <c r="A42" s="233" t="s">
        <v>217</v>
      </c>
      <c r="B42" s="233" t="s">
        <v>218</v>
      </c>
      <c r="C42" s="233" t="s">
        <v>219</v>
      </c>
      <c r="D42" s="252" t="s">
        <v>220</v>
      </c>
      <c r="E42" s="232"/>
      <c r="F42" s="279"/>
      <c r="G42" s="277"/>
      <c r="H42" s="277"/>
      <c r="I42" s="277">
        <f>SUM(I43)</f>
        <v>366500</v>
      </c>
      <c r="J42" s="280"/>
    </row>
    <row r="43" spans="1:10" s="218" customFormat="1" ht="42.75" customHeight="1">
      <c r="A43" s="235"/>
      <c r="B43" s="235"/>
      <c r="C43" s="235"/>
      <c r="D43" s="239"/>
      <c r="E43" s="237" t="s">
        <v>508</v>
      </c>
      <c r="F43" s="216" t="s">
        <v>449</v>
      </c>
      <c r="G43" s="276">
        <v>366500</v>
      </c>
      <c r="H43" s="276"/>
      <c r="I43" s="276">
        <v>366500</v>
      </c>
      <c r="J43" s="278">
        <v>100</v>
      </c>
    </row>
    <row r="44" spans="1:10" s="215" customFormat="1" ht="42.75" customHeight="1">
      <c r="A44" s="233" t="s">
        <v>221</v>
      </c>
      <c r="B44" s="233" t="s">
        <v>222</v>
      </c>
      <c r="C44" s="233" t="s">
        <v>223</v>
      </c>
      <c r="D44" s="252" t="s">
        <v>224</v>
      </c>
      <c r="E44" s="232"/>
      <c r="F44" s="279"/>
      <c r="G44" s="277"/>
      <c r="H44" s="277"/>
      <c r="I44" s="277">
        <f>SUM(I45)</f>
        <v>38250</v>
      </c>
      <c r="J44" s="280"/>
    </row>
    <row r="45" spans="1:10" s="218" customFormat="1" ht="42.75" customHeight="1">
      <c r="A45" s="235"/>
      <c r="B45" s="235"/>
      <c r="C45" s="235"/>
      <c r="D45" s="239"/>
      <c r="E45" s="237" t="s">
        <v>458</v>
      </c>
      <c r="F45" s="216" t="s">
        <v>449</v>
      </c>
      <c r="G45" s="276">
        <v>38250</v>
      </c>
      <c r="H45" s="276"/>
      <c r="I45" s="276">
        <v>38250</v>
      </c>
      <c r="J45" s="278">
        <v>100</v>
      </c>
    </row>
    <row r="46" spans="1:10" s="218" customFormat="1" ht="42.75" customHeight="1">
      <c r="A46" s="363" t="s">
        <v>487</v>
      </c>
      <c r="B46" s="363" t="s">
        <v>488</v>
      </c>
      <c r="C46" s="363" t="s">
        <v>223</v>
      </c>
      <c r="D46" s="364" t="s">
        <v>489</v>
      </c>
      <c r="E46" s="232"/>
      <c r="F46" s="279"/>
      <c r="G46" s="277"/>
      <c r="H46" s="277"/>
      <c r="I46" s="277">
        <f>SUM(I47:I48)</f>
        <v>542876</v>
      </c>
      <c r="J46" s="280"/>
    </row>
    <row r="47" spans="1:10" s="218" customFormat="1" ht="42.75" customHeight="1">
      <c r="A47" s="365"/>
      <c r="B47" s="365"/>
      <c r="C47" s="365"/>
      <c r="D47" s="366"/>
      <c r="E47" s="237" t="s">
        <v>495</v>
      </c>
      <c r="F47" s="216" t="s">
        <v>449</v>
      </c>
      <c r="G47" s="276">
        <v>19576</v>
      </c>
      <c r="H47" s="276"/>
      <c r="I47" s="276">
        <v>19576</v>
      </c>
      <c r="J47" s="278">
        <v>100</v>
      </c>
    </row>
    <row r="48" spans="1:10" s="218" customFormat="1" ht="42.75" customHeight="1">
      <c r="A48" s="365"/>
      <c r="B48" s="365"/>
      <c r="C48" s="365"/>
      <c r="D48" s="366"/>
      <c r="E48" s="237" t="s">
        <v>508</v>
      </c>
      <c r="F48" s="216" t="s">
        <v>507</v>
      </c>
      <c r="G48" s="276">
        <v>523300</v>
      </c>
      <c r="H48" s="276"/>
      <c r="I48" s="276">
        <v>523300</v>
      </c>
      <c r="J48" s="278">
        <v>100</v>
      </c>
    </row>
    <row r="49" spans="1:10" s="218" customFormat="1" ht="84.75" customHeight="1">
      <c r="A49" s="363" t="s">
        <v>428</v>
      </c>
      <c r="B49" s="363" t="s">
        <v>430</v>
      </c>
      <c r="C49" s="363" t="s">
        <v>233</v>
      </c>
      <c r="D49" s="364" t="s">
        <v>432</v>
      </c>
      <c r="E49" s="232"/>
      <c r="F49" s="279"/>
      <c r="G49" s="277"/>
      <c r="H49" s="277"/>
      <c r="I49" s="277">
        <f>SUM(I50)</f>
        <v>53624</v>
      </c>
      <c r="J49" s="280"/>
    </row>
    <row r="50" spans="1:10" s="218" customFormat="1" ht="42.75" customHeight="1">
      <c r="A50" s="365"/>
      <c r="B50" s="365"/>
      <c r="C50" s="365"/>
      <c r="D50" s="366"/>
      <c r="E50" s="237" t="s">
        <v>494</v>
      </c>
      <c r="F50" s="216" t="s">
        <v>449</v>
      </c>
      <c r="G50" s="276">
        <v>53624</v>
      </c>
      <c r="H50" s="276"/>
      <c r="I50" s="276">
        <v>53624</v>
      </c>
      <c r="J50" s="278">
        <v>100</v>
      </c>
    </row>
    <row r="51" spans="1:10" s="215" customFormat="1" ht="78" customHeight="1">
      <c r="A51" s="233" t="s">
        <v>429</v>
      </c>
      <c r="B51" s="233" t="s">
        <v>431</v>
      </c>
      <c r="C51" s="233" t="s">
        <v>233</v>
      </c>
      <c r="D51" s="234" t="s">
        <v>433</v>
      </c>
      <c r="E51" s="232"/>
      <c r="F51" s="213"/>
      <c r="G51" s="277"/>
      <c r="H51" s="277"/>
      <c r="I51" s="277">
        <f>SUM(I52)</f>
        <v>482614</v>
      </c>
      <c r="J51" s="280"/>
    </row>
    <row r="52" spans="1:10" s="218" customFormat="1" ht="53.25" customHeight="1">
      <c r="A52" s="235"/>
      <c r="B52" s="235"/>
      <c r="C52" s="235"/>
      <c r="D52" s="239"/>
      <c r="E52" s="237" t="s">
        <v>493</v>
      </c>
      <c r="F52" s="216" t="s">
        <v>449</v>
      </c>
      <c r="G52" s="276">
        <f>1002456-519842</f>
        <v>482614</v>
      </c>
      <c r="H52" s="276"/>
      <c r="I52" s="276">
        <f>1002456-519842</f>
        <v>482614</v>
      </c>
      <c r="J52" s="278">
        <v>100</v>
      </c>
    </row>
    <row r="53" spans="1:10" s="250" customFormat="1" ht="65.25" customHeight="1">
      <c r="A53" s="220" t="s">
        <v>247</v>
      </c>
      <c r="B53" s="220" t="s">
        <v>248</v>
      </c>
      <c r="C53" s="220" t="s">
        <v>233</v>
      </c>
      <c r="D53" s="234" t="s">
        <v>249</v>
      </c>
      <c r="E53" s="229"/>
      <c r="F53" s="213"/>
      <c r="G53" s="247"/>
      <c r="H53" s="247"/>
      <c r="I53" s="247">
        <v>370840</v>
      </c>
      <c r="J53" s="213"/>
    </row>
    <row r="54" spans="1:10" s="281" customFormat="1" ht="31.5" customHeight="1">
      <c r="A54" s="223"/>
      <c r="B54" s="223"/>
      <c r="C54" s="223"/>
      <c r="D54" s="236"/>
      <c r="E54" s="226" t="s">
        <v>336</v>
      </c>
      <c r="F54" s="216" t="s">
        <v>449</v>
      </c>
      <c r="G54" s="248">
        <v>370840</v>
      </c>
      <c r="H54" s="248"/>
      <c r="I54" s="248">
        <v>370840</v>
      </c>
      <c r="J54" s="216">
        <v>100</v>
      </c>
    </row>
    <row r="55" spans="1:10" s="215" customFormat="1" ht="42" customHeight="1">
      <c r="A55" s="264"/>
      <c r="B55" s="198" t="s">
        <v>402</v>
      </c>
      <c r="C55" s="198"/>
      <c r="D55" s="202" t="s">
        <v>403</v>
      </c>
      <c r="E55" s="271"/>
      <c r="F55" s="268"/>
      <c r="G55" s="269"/>
      <c r="H55" s="269"/>
      <c r="I55" s="269">
        <f>I56</f>
        <v>354438</v>
      </c>
      <c r="J55" s="270"/>
    </row>
    <row r="56" spans="1:10" s="281" customFormat="1" ht="68.25" customHeight="1">
      <c r="A56" s="233" t="s">
        <v>460</v>
      </c>
      <c r="B56" s="233" t="s">
        <v>405</v>
      </c>
      <c r="C56" s="233" t="s">
        <v>199</v>
      </c>
      <c r="D56" s="234" t="s">
        <v>406</v>
      </c>
      <c r="E56" s="222"/>
      <c r="F56" s="213"/>
      <c r="G56" s="247"/>
      <c r="H56" s="247"/>
      <c r="I56" s="247">
        <f>SUM(I57:I58)</f>
        <v>354438</v>
      </c>
      <c r="J56" s="214"/>
    </row>
    <row r="57" spans="1:10" s="281" customFormat="1" ht="144" customHeight="1">
      <c r="A57" s="223"/>
      <c r="B57" s="223"/>
      <c r="C57" s="223"/>
      <c r="D57" s="224"/>
      <c r="E57" s="225" t="s">
        <v>486</v>
      </c>
      <c r="F57" s="216" t="s">
        <v>449</v>
      </c>
      <c r="G57" s="248">
        <f>46823+136000</f>
        <v>182823</v>
      </c>
      <c r="H57" s="248"/>
      <c r="I57" s="248">
        <f>46823+136000</f>
        <v>182823</v>
      </c>
      <c r="J57" s="217">
        <v>100</v>
      </c>
    </row>
    <row r="58" spans="1:10" s="281" customFormat="1" ht="301.5" customHeight="1">
      <c r="A58" s="223"/>
      <c r="B58" s="223"/>
      <c r="C58" s="223"/>
      <c r="D58" s="224"/>
      <c r="E58" s="225" t="s">
        <v>492</v>
      </c>
      <c r="F58" s="216" t="s">
        <v>449</v>
      </c>
      <c r="G58" s="248">
        <f>171615</f>
        <v>171615</v>
      </c>
      <c r="H58" s="248"/>
      <c r="I58" s="248">
        <v>171615</v>
      </c>
      <c r="J58" s="217">
        <v>100</v>
      </c>
    </row>
    <row r="59" spans="1:11" s="67" customFormat="1" ht="39" customHeight="1">
      <c r="A59" s="255" t="s">
        <v>299</v>
      </c>
      <c r="B59" s="255"/>
      <c r="C59" s="255"/>
      <c r="D59" s="258" t="s">
        <v>443</v>
      </c>
      <c r="E59" s="258"/>
      <c r="F59" s="259"/>
      <c r="G59" s="260"/>
      <c r="H59" s="260"/>
      <c r="I59" s="260">
        <f>I60</f>
        <v>2049584</v>
      </c>
      <c r="J59" s="259"/>
      <c r="K59" s="69"/>
    </row>
    <row r="60" spans="1:11" s="67" customFormat="1" ht="39" customHeight="1">
      <c r="A60" s="255" t="s">
        <v>300</v>
      </c>
      <c r="B60" s="255"/>
      <c r="C60" s="255"/>
      <c r="D60" s="258" t="s">
        <v>443</v>
      </c>
      <c r="E60" s="258"/>
      <c r="F60" s="259"/>
      <c r="G60" s="260"/>
      <c r="H60" s="260"/>
      <c r="I60" s="260">
        <f>I61</f>
        <v>2049584</v>
      </c>
      <c r="J60" s="259"/>
      <c r="K60" s="69"/>
    </row>
    <row r="61" spans="1:11" s="67" customFormat="1" ht="39" customHeight="1">
      <c r="A61" s="264"/>
      <c r="B61" s="198" t="s">
        <v>444</v>
      </c>
      <c r="C61" s="198"/>
      <c r="D61" s="199" t="s">
        <v>445</v>
      </c>
      <c r="E61" s="267"/>
      <c r="F61" s="268"/>
      <c r="G61" s="269"/>
      <c r="H61" s="269"/>
      <c r="I61" s="269">
        <f>I62</f>
        <v>2049584</v>
      </c>
      <c r="J61" s="268"/>
      <c r="K61" s="69"/>
    </row>
    <row r="62" spans="1:10" s="250" customFormat="1" ht="43.5" customHeight="1">
      <c r="A62" s="282" t="s">
        <v>500</v>
      </c>
      <c r="B62" s="283">
        <v>9750</v>
      </c>
      <c r="C62" s="282" t="s">
        <v>145</v>
      </c>
      <c r="D62" s="252" t="s">
        <v>499</v>
      </c>
      <c r="E62" s="229"/>
      <c r="F62" s="284"/>
      <c r="G62" s="285"/>
      <c r="H62" s="285"/>
      <c r="I62" s="285">
        <f>I63+I64</f>
        <v>2049584</v>
      </c>
      <c r="J62" s="286"/>
    </row>
    <row r="63" spans="1:11" s="67" customFormat="1" ht="142.5" customHeight="1">
      <c r="A63" s="227"/>
      <c r="B63" s="228"/>
      <c r="C63" s="227"/>
      <c r="D63" s="225"/>
      <c r="E63" s="226" t="s">
        <v>459</v>
      </c>
      <c r="F63" s="216" t="s">
        <v>449</v>
      </c>
      <c r="G63" s="249">
        <v>2010000</v>
      </c>
      <c r="H63" s="249"/>
      <c r="I63" s="249">
        <v>2010000</v>
      </c>
      <c r="J63" s="240">
        <v>100</v>
      </c>
      <c r="K63" s="69"/>
    </row>
    <row r="64" spans="1:11" s="67" customFormat="1" ht="52.5" customHeight="1">
      <c r="A64" s="227"/>
      <c r="B64" s="228"/>
      <c r="C64" s="227"/>
      <c r="D64" s="225"/>
      <c r="E64" s="226" t="s">
        <v>506</v>
      </c>
      <c r="F64" s="216" t="s">
        <v>449</v>
      </c>
      <c r="G64" s="249">
        <v>39584</v>
      </c>
      <c r="H64" s="249"/>
      <c r="I64" s="249">
        <v>39584</v>
      </c>
      <c r="J64" s="240">
        <v>100</v>
      </c>
      <c r="K64" s="69"/>
    </row>
    <row r="65" spans="1:10" s="68" customFormat="1" ht="33" customHeight="1">
      <c r="A65" s="230" t="s">
        <v>99</v>
      </c>
      <c r="B65" s="230" t="s">
        <v>99</v>
      </c>
      <c r="C65" s="230" t="s">
        <v>99</v>
      </c>
      <c r="D65" s="231" t="s">
        <v>305</v>
      </c>
      <c r="E65" s="230" t="s">
        <v>99</v>
      </c>
      <c r="F65" s="230" t="s">
        <v>99</v>
      </c>
      <c r="G65" s="253" t="s">
        <v>99</v>
      </c>
      <c r="H65" s="253"/>
      <c r="I65" s="254">
        <f>I12+I39+I59</f>
        <v>18909457.6</v>
      </c>
      <c r="J65" s="230" t="s">
        <v>99</v>
      </c>
    </row>
    <row r="66" spans="1:10" s="8" customFormat="1" ht="19.5">
      <c r="A66" s="241"/>
      <c r="B66" s="241"/>
      <c r="C66" s="241"/>
      <c r="D66" s="242"/>
      <c r="E66" s="243"/>
      <c r="F66" s="243"/>
      <c r="G66" s="243"/>
      <c r="H66" s="243"/>
      <c r="I66" s="244">
        <f>'Додаток 3'!K110-'Додаток 6'!I65</f>
        <v>0</v>
      </c>
      <c r="J66" s="245"/>
    </row>
    <row r="67" spans="1:10" s="8" customFormat="1" ht="24.75" customHeight="1">
      <c r="A67" s="449" t="str">
        <f>додаток1!A116</f>
        <v>Секретар ради                                                                        Наталія  ІВАНЮТА</v>
      </c>
      <c r="B67" s="449"/>
      <c r="C67" s="449"/>
      <c r="D67" s="449"/>
      <c r="E67" s="449"/>
      <c r="F67" s="449"/>
      <c r="G67" s="449"/>
      <c r="H67" s="449"/>
      <c r="I67" s="449"/>
      <c r="J67" s="449"/>
    </row>
    <row r="68" spans="1:10" s="8" customFormat="1" ht="20.25">
      <c r="A68" s="78"/>
      <c r="B68" s="78"/>
      <c r="C68" s="78"/>
      <c r="D68" s="79"/>
      <c r="E68" s="80"/>
      <c r="F68" s="80"/>
      <c r="G68" s="80"/>
      <c r="H68" s="80"/>
      <c r="I68" s="80"/>
      <c r="J68" s="88"/>
    </row>
    <row r="69" spans="1:10" s="8" customFormat="1" ht="20.25">
      <c r="A69" s="78"/>
      <c r="B69" s="78"/>
      <c r="C69" s="78"/>
      <c r="D69" s="79"/>
      <c r="E69" s="80"/>
      <c r="F69" s="80"/>
      <c r="G69" s="80"/>
      <c r="H69" s="80"/>
      <c r="I69" s="80"/>
      <c r="J69" s="80"/>
    </row>
    <row r="70" spans="1:10" s="8" customFormat="1" ht="20.25">
      <c r="A70" s="78"/>
      <c r="B70" s="78"/>
      <c r="C70" s="78"/>
      <c r="D70" s="79"/>
      <c r="E70" s="80"/>
      <c r="F70" s="80"/>
      <c r="G70" s="80"/>
      <c r="H70" s="80"/>
      <c r="I70" s="80"/>
      <c r="J70" s="80"/>
    </row>
    <row r="71" spans="1:10" s="8" customFormat="1" ht="20.25">
      <c r="A71" s="78"/>
      <c r="B71" s="78"/>
      <c r="C71" s="78"/>
      <c r="D71" s="79"/>
      <c r="E71" s="80"/>
      <c r="F71" s="80"/>
      <c r="G71" s="80"/>
      <c r="H71" s="80"/>
      <c r="I71" s="80"/>
      <c r="J71" s="80"/>
    </row>
    <row r="72" spans="1:10" s="8" customFormat="1" ht="20.25">
      <c r="A72" s="78"/>
      <c r="B72" s="78"/>
      <c r="C72" s="78"/>
      <c r="D72" s="79"/>
      <c r="E72" s="80"/>
      <c r="F72" s="80"/>
      <c r="G72" s="80"/>
      <c r="H72" s="80"/>
      <c r="I72" s="80"/>
      <c r="J72" s="80"/>
    </row>
    <row r="73" spans="1:10" s="8" customFormat="1" ht="20.25">
      <c r="A73" s="78"/>
      <c r="B73" s="78"/>
      <c r="C73" s="78"/>
      <c r="D73" s="79"/>
      <c r="E73" s="80"/>
      <c r="F73" s="80"/>
      <c r="G73" s="80"/>
      <c r="H73" s="80"/>
      <c r="I73" s="80"/>
      <c r="J73" s="80"/>
    </row>
    <row r="74" spans="1:10" s="8" customFormat="1" ht="20.25">
      <c r="A74" s="78"/>
      <c r="B74" s="78"/>
      <c r="C74" s="78"/>
      <c r="D74" s="79"/>
      <c r="E74" s="80"/>
      <c r="F74" s="80"/>
      <c r="G74" s="80"/>
      <c r="H74" s="80"/>
      <c r="I74" s="80"/>
      <c r="J74" s="80"/>
    </row>
    <row r="75" spans="1:10" s="8" customFormat="1" ht="20.25">
      <c r="A75" s="78"/>
      <c r="B75" s="78"/>
      <c r="C75" s="78"/>
      <c r="D75" s="79"/>
      <c r="E75" s="80"/>
      <c r="F75" s="80"/>
      <c r="G75" s="80"/>
      <c r="H75" s="80"/>
      <c r="I75" s="80"/>
      <c r="J75" s="80"/>
    </row>
    <row r="76" spans="1:10" s="8" customFormat="1" ht="20.25">
      <c r="A76" s="78"/>
      <c r="B76" s="78"/>
      <c r="C76" s="78"/>
      <c r="D76" s="79"/>
      <c r="E76" s="80"/>
      <c r="F76" s="80"/>
      <c r="G76" s="80"/>
      <c r="H76" s="80"/>
      <c r="I76" s="80"/>
      <c r="J76" s="80"/>
    </row>
    <row r="77" spans="1:10" s="8" customFormat="1" ht="20.25">
      <c r="A77" s="78"/>
      <c r="B77" s="78"/>
      <c r="C77" s="78"/>
      <c r="D77" s="79"/>
      <c r="E77" s="80"/>
      <c r="F77" s="80"/>
      <c r="G77" s="80"/>
      <c r="H77" s="80"/>
      <c r="I77" s="80"/>
      <c r="J77" s="80"/>
    </row>
    <row r="78" spans="1:10" s="8" customFormat="1" ht="20.25">
      <c r="A78" s="78"/>
      <c r="B78" s="78"/>
      <c r="C78" s="78"/>
      <c r="D78" s="79"/>
      <c r="E78" s="80"/>
      <c r="F78" s="80"/>
      <c r="G78" s="80"/>
      <c r="H78" s="80"/>
      <c r="I78" s="80"/>
      <c r="J78" s="80"/>
    </row>
    <row r="79" spans="1:10" s="8" customFormat="1" ht="20.25">
      <c r="A79" s="78"/>
      <c r="B79" s="78"/>
      <c r="C79" s="78"/>
      <c r="D79" s="79"/>
      <c r="E79" s="80"/>
      <c r="F79" s="80"/>
      <c r="G79" s="80"/>
      <c r="H79" s="80"/>
      <c r="I79" s="80"/>
      <c r="J79" s="80"/>
    </row>
    <row r="80" spans="1:10" s="8" customFormat="1" ht="20.25">
      <c r="A80" s="78"/>
      <c r="B80" s="78"/>
      <c r="C80" s="78"/>
      <c r="D80" s="79"/>
      <c r="E80" s="80"/>
      <c r="F80" s="80"/>
      <c r="G80" s="80"/>
      <c r="H80" s="80"/>
      <c r="I80" s="80"/>
      <c r="J80" s="80"/>
    </row>
    <row r="81" spans="1:10" s="8" customFormat="1" ht="20.25">
      <c r="A81" s="78"/>
      <c r="B81" s="78"/>
      <c r="C81" s="78"/>
      <c r="D81" s="79"/>
      <c r="E81" s="80"/>
      <c r="F81" s="80"/>
      <c r="G81" s="80"/>
      <c r="H81" s="80"/>
      <c r="I81" s="80"/>
      <c r="J81" s="80"/>
    </row>
    <row r="82" spans="1:10" s="8" customFormat="1" ht="20.25">
      <c r="A82" s="78"/>
      <c r="B82" s="78"/>
      <c r="C82" s="78"/>
      <c r="D82" s="79"/>
      <c r="E82" s="80"/>
      <c r="F82" s="80"/>
      <c r="G82" s="80"/>
      <c r="H82" s="80"/>
      <c r="I82" s="80"/>
      <c r="J82" s="80"/>
    </row>
    <row r="83" spans="1:10" s="8" customFormat="1" ht="20.25">
      <c r="A83" s="78"/>
      <c r="B83" s="78"/>
      <c r="C83" s="78"/>
      <c r="D83" s="79"/>
      <c r="E83" s="80"/>
      <c r="F83" s="80"/>
      <c r="G83" s="80"/>
      <c r="H83" s="80"/>
      <c r="I83" s="80"/>
      <c r="J83" s="80"/>
    </row>
    <row r="84" spans="1:10" s="8" customFormat="1" ht="20.25">
      <c r="A84" s="78"/>
      <c r="B84" s="78"/>
      <c r="C84" s="78"/>
      <c r="D84" s="79"/>
      <c r="E84" s="80"/>
      <c r="F84" s="80"/>
      <c r="G84" s="80"/>
      <c r="H84" s="80"/>
      <c r="I84" s="80"/>
      <c r="J84" s="80"/>
    </row>
    <row r="85" spans="1:10" s="8" customFormat="1" ht="20.25">
      <c r="A85" s="78"/>
      <c r="B85" s="78"/>
      <c r="C85" s="78"/>
      <c r="D85" s="79"/>
      <c r="E85" s="80"/>
      <c r="F85" s="80"/>
      <c r="G85" s="80"/>
      <c r="H85" s="80"/>
      <c r="I85" s="80"/>
      <c r="J85" s="80"/>
    </row>
    <row r="86" spans="1:10" s="8" customFormat="1" ht="20.25">
      <c r="A86" s="78"/>
      <c r="B86" s="78"/>
      <c r="C86" s="78"/>
      <c r="D86" s="79"/>
      <c r="E86" s="80"/>
      <c r="F86" s="80"/>
      <c r="G86" s="80"/>
      <c r="H86" s="80"/>
      <c r="I86" s="80"/>
      <c r="J86" s="80"/>
    </row>
    <row r="87" spans="1:10" s="8" customFormat="1" ht="20.25">
      <c r="A87" s="78"/>
      <c r="B87" s="78"/>
      <c r="C87" s="78"/>
      <c r="D87" s="79"/>
      <c r="E87" s="80"/>
      <c r="F87" s="80"/>
      <c r="G87" s="80"/>
      <c r="H87" s="80"/>
      <c r="I87" s="80"/>
      <c r="J87" s="80"/>
    </row>
    <row r="88" spans="1:10" s="8" customFormat="1" ht="20.25">
      <c r="A88" s="78"/>
      <c r="B88" s="78"/>
      <c r="C88" s="78"/>
      <c r="D88" s="79"/>
      <c r="E88" s="80"/>
      <c r="F88" s="80"/>
      <c r="G88" s="80"/>
      <c r="H88" s="80"/>
      <c r="I88" s="80"/>
      <c r="J88" s="80"/>
    </row>
    <row r="89" spans="1:10" s="8" customFormat="1" ht="20.25">
      <c r="A89" s="78"/>
      <c r="B89" s="78"/>
      <c r="C89" s="78"/>
      <c r="D89" s="79"/>
      <c r="E89" s="80"/>
      <c r="F89" s="80"/>
      <c r="G89" s="80"/>
      <c r="H89" s="80"/>
      <c r="I89" s="80"/>
      <c r="J89" s="80"/>
    </row>
    <row r="90" spans="1:10" s="8" customFormat="1" ht="20.25">
      <c r="A90" s="78"/>
      <c r="B90" s="78"/>
      <c r="C90" s="78"/>
      <c r="D90" s="79"/>
      <c r="E90" s="80"/>
      <c r="F90" s="80"/>
      <c r="G90" s="80"/>
      <c r="H90" s="80"/>
      <c r="I90" s="80"/>
      <c r="J90" s="80"/>
    </row>
    <row r="91" spans="1:10" s="8" customFormat="1" ht="20.25">
      <c r="A91" s="78"/>
      <c r="B91" s="78"/>
      <c r="C91" s="78"/>
      <c r="D91" s="79"/>
      <c r="E91" s="80"/>
      <c r="F91" s="80"/>
      <c r="G91" s="80"/>
      <c r="H91" s="80"/>
      <c r="I91" s="80"/>
      <c r="J91" s="80"/>
    </row>
    <row r="92" spans="1:10" s="8" customFormat="1" ht="20.25">
      <c r="A92" s="78"/>
      <c r="B92" s="78"/>
      <c r="C92" s="78"/>
      <c r="D92" s="79"/>
      <c r="E92" s="80"/>
      <c r="F92" s="80"/>
      <c r="G92" s="80"/>
      <c r="H92" s="80"/>
      <c r="I92" s="80"/>
      <c r="J92" s="80"/>
    </row>
    <row r="93" spans="1:10" s="8" customFormat="1" ht="20.25">
      <c r="A93" s="78"/>
      <c r="B93" s="78"/>
      <c r="C93" s="78"/>
      <c r="D93" s="79"/>
      <c r="E93" s="80"/>
      <c r="F93" s="80"/>
      <c r="G93" s="80"/>
      <c r="H93" s="80"/>
      <c r="I93" s="80"/>
      <c r="J93" s="80"/>
    </row>
    <row r="94" spans="1:10" s="8" customFormat="1" ht="20.25">
      <c r="A94" s="78"/>
      <c r="B94" s="78"/>
      <c r="C94" s="78"/>
      <c r="D94" s="79"/>
      <c r="E94" s="80"/>
      <c r="F94" s="80"/>
      <c r="G94" s="80"/>
      <c r="H94" s="80"/>
      <c r="I94" s="80"/>
      <c r="J94" s="80"/>
    </row>
    <row r="95" spans="1:10" s="8" customFormat="1" ht="20.25">
      <c r="A95" s="78"/>
      <c r="B95" s="78"/>
      <c r="C95" s="78"/>
      <c r="D95" s="79"/>
      <c r="E95" s="80"/>
      <c r="F95" s="80"/>
      <c r="G95" s="80"/>
      <c r="H95" s="80"/>
      <c r="I95" s="80"/>
      <c r="J95" s="80"/>
    </row>
    <row r="96" spans="1:10" s="8" customFormat="1" ht="20.25">
      <c r="A96" s="78"/>
      <c r="B96" s="78"/>
      <c r="C96" s="78"/>
      <c r="D96" s="79"/>
      <c r="E96" s="80"/>
      <c r="F96" s="80"/>
      <c r="G96" s="80"/>
      <c r="H96" s="80"/>
      <c r="I96" s="80"/>
      <c r="J96" s="80"/>
    </row>
    <row r="97" spans="1:10" s="8" customFormat="1" ht="20.25">
      <c r="A97" s="78"/>
      <c r="B97" s="78"/>
      <c r="C97" s="78"/>
      <c r="D97" s="79"/>
      <c r="E97" s="80"/>
      <c r="F97" s="80"/>
      <c r="G97" s="80"/>
      <c r="H97" s="80"/>
      <c r="I97" s="80"/>
      <c r="J97" s="80"/>
    </row>
    <row r="98" spans="1:10" s="8" customFormat="1" ht="20.25">
      <c r="A98" s="78"/>
      <c r="B98" s="78"/>
      <c r="C98" s="78"/>
      <c r="D98" s="79"/>
      <c r="E98" s="80"/>
      <c r="F98" s="80"/>
      <c r="G98" s="80"/>
      <c r="H98" s="80"/>
      <c r="I98" s="80"/>
      <c r="J98" s="80"/>
    </row>
    <row r="99" spans="1:10" s="8" customFormat="1" ht="20.25">
      <c r="A99" s="78"/>
      <c r="B99" s="78"/>
      <c r="C99" s="78"/>
      <c r="D99" s="79"/>
      <c r="E99" s="80"/>
      <c r="F99" s="80"/>
      <c r="G99" s="80"/>
      <c r="H99" s="80"/>
      <c r="I99" s="80"/>
      <c r="J99" s="80"/>
    </row>
  </sheetData>
  <sheetProtection/>
  <mergeCells count="9">
    <mergeCell ref="A7:B7"/>
    <mergeCell ref="A8:B8"/>
    <mergeCell ref="A67:J67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showZeros="0" tabSelected="1" zoomScale="70" zoomScaleNormal="70" zoomScalePageLayoutView="0" workbookViewId="0" topLeftCell="A88">
      <selection activeCell="E103" sqref="E103"/>
    </sheetView>
  </sheetViews>
  <sheetFormatPr defaultColWidth="8.875" defaultRowHeight="12.75"/>
  <cols>
    <col min="1" max="1" width="14.375" style="10" customWidth="1"/>
    <col min="2" max="2" width="13.375" style="11" customWidth="1"/>
    <col min="3" max="3" width="12.75390625" style="11" customWidth="1"/>
    <col min="4" max="4" width="53.25390625" style="12" customWidth="1"/>
    <col min="5" max="5" width="71.125" style="13" customWidth="1"/>
    <col min="6" max="6" width="30.25390625" style="14" customWidth="1"/>
    <col min="7" max="7" width="18.625" style="13" customWidth="1"/>
    <col min="8" max="8" width="18.625" style="15" customWidth="1"/>
    <col min="9" max="10" width="18.625" style="13" customWidth="1"/>
    <col min="11" max="16384" width="8.875" style="13" customWidth="1"/>
  </cols>
  <sheetData>
    <row r="1" spans="6:10" ht="18.75">
      <c r="F1" s="192"/>
      <c r="G1" s="453" t="s">
        <v>337</v>
      </c>
      <c r="H1" s="454"/>
      <c r="I1" s="454"/>
      <c r="J1" s="454"/>
    </row>
    <row r="2" spans="1:10" ht="18.75">
      <c r="A2" s="16"/>
      <c r="G2" s="373" t="str">
        <f>додаток1!D2</f>
        <v>до  рішення сесії Тетіївської міської ради</v>
      </c>
      <c r="H2" s="454"/>
      <c r="I2" s="454"/>
      <c r="J2" s="454"/>
    </row>
    <row r="3" spans="6:10" ht="36" customHeight="1">
      <c r="F3" s="193"/>
      <c r="G3" s="455" t="str">
        <f>додаток1!D3</f>
        <v>"Про бюджет Тетіївської міської територіальної громади на 2021 рік" від 24.12.2020.№ 39-02-VIII</v>
      </c>
      <c r="H3" s="456"/>
      <c r="I3" s="456"/>
      <c r="J3" s="456"/>
    </row>
    <row r="4" spans="6:10" ht="20.25" customHeight="1">
      <c r="F4" s="193"/>
      <c r="G4" s="455" t="str">
        <f>додаток1!C4</f>
        <v>(в редакції проекту сесії міської ради від 28.09.2021 № -10-VІІ)</v>
      </c>
      <c r="H4" s="456"/>
      <c r="I4" s="456"/>
      <c r="J4" s="456"/>
    </row>
    <row r="5" spans="6:10" ht="17.25" customHeight="1">
      <c r="F5" s="373">
        <f>додаток1!C5</f>
        <v>0</v>
      </c>
      <c r="G5" s="373"/>
      <c r="H5" s="373"/>
      <c r="I5" s="373"/>
      <c r="J5" s="373"/>
    </row>
    <row r="6" spans="1:10" s="1" customFormat="1" ht="19.5">
      <c r="A6" s="17"/>
      <c r="B6" s="18"/>
      <c r="C6" s="18"/>
      <c r="D6" s="19"/>
      <c r="E6" s="20"/>
      <c r="F6" s="21"/>
      <c r="G6" s="20"/>
      <c r="H6" s="373"/>
      <c r="I6" s="373"/>
      <c r="J6" s="373"/>
    </row>
    <row r="7" spans="1:10" s="1" customFormat="1" ht="21" customHeight="1">
      <c r="A7" s="17"/>
      <c r="B7" s="449" t="s">
        <v>338</v>
      </c>
      <c r="C7" s="449"/>
      <c r="D7" s="449"/>
      <c r="E7" s="449"/>
      <c r="F7" s="449"/>
      <c r="G7" s="449"/>
      <c r="H7" s="449"/>
      <c r="I7" s="449"/>
      <c r="J7" s="449"/>
    </row>
    <row r="8" spans="1:10" s="1" customFormat="1" ht="21" customHeight="1">
      <c r="A8" s="405">
        <f>додаток1!A8</f>
        <v>10508000000</v>
      </c>
      <c r="B8" s="405"/>
      <c r="C8" s="22"/>
      <c r="D8" s="22"/>
      <c r="E8" s="22"/>
      <c r="F8" s="22"/>
      <c r="G8" s="22"/>
      <c r="H8" s="22"/>
      <c r="I8" s="22"/>
      <c r="J8" s="22"/>
    </row>
    <row r="9" spans="1:10" s="1" customFormat="1" ht="18" customHeight="1">
      <c r="A9" s="373" t="s">
        <v>2</v>
      </c>
      <c r="B9" s="373"/>
      <c r="C9" s="23"/>
      <c r="D9" s="23"/>
      <c r="E9" s="23"/>
      <c r="F9" s="23"/>
      <c r="G9" s="23"/>
      <c r="H9" s="23"/>
      <c r="I9" s="23"/>
      <c r="J9" s="23"/>
    </row>
    <row r="10" spans="1:10" s="1" customFormat="1" ht="18" customHeight="1">
      <c r="A10" s="17"/>
      <c r="B10" s="24"/>
      <c r="C10" s="24"/>
      <c r="D10" s="25"/>
      <c r="E10" s="26"/>
      <c r="F10" s="21"/>
      <c r="G10" s="26"/>
      <c r="H10" s="27"/>
      <c r="J10" s="53" t="s">
        <v>3</v>
      </c>
    </row>
    <row r="11" spans="1:10" s="2" customFormat="1" ht="32.25" customHeight="1">
      <c r="A11" s="460" t="s">
        <v>124</v>
      </c>
      <c r="B11" s="411" t="s">
        <v>125</v>
      </c>
      <c r="C11" s="411" t="s">
        <v>126</v>
      </c>
      <c r="D11" s="462" t="s">
        <v>127</v>
      </c>
      <c r="E11" s="464" t="s">
        <v>339</v>
      </c>
      <c r="F11" s="462" t="s">
        <v>340</v>
      </c>
      <c r="G11" s="462" t="s">
        <v>6</v>
      </c>
      <c r="H11" s="462" t="s">
        <v>7</v>
      </c>
      <c r="I11" s="457" t="s">
        <v>8</v>
      </c>
      <c r="J11" s="458"/>
    </row>
    <row r="12" spans="1:10" s="2" customFormat="1" ht="86.25" customHeight="1">
      <c r="A12" s="461"/>
      <c r="B12" s="413"/>
      <c r="C12" s="413"/>
      <c r="D12" s="463"/>
      <c r="E12" s="465"/>
      <c r="F12" s="463"/>
      <c r="G12" s="463"/>
      <c r="H12" s="463"/>
      <c r="I12" s="353" t="s">
        <v>341</v>
      </c>
      <c r="J12" s="353" t="s">
        <v>306</v>
      </c>
    </row>
    <row r="13" spans="1:10" ht="24" customHeight="1">
      <c r="A13" s="353">
        <v>1</v>
      </c>
      <c r="B13" s="354" t="s">
        <v>335</v>
      </c>
      <c r="C13" s="354" t="s">
        <v>136</v>
      </c>
      <c r="D13" s="355">
        <v>4</v>
      </c>
      <c r="E13" s="340">
        <v>5</v>
      </c>
      <c r="F13" s="353">
        <v>6</v>
      </c>
      <c r="G13" s="353">
        <v>7</v>
      </c>
      <c r="H13" s="353">
        <v>8</v>
      </c>
      <c r="I13" s="353">
        <v>9</v>
      </c>
      <c r="J13" s="353">
        <v>10</v>
      </c>
    </row>
    <row r="14" spans="1:10" s="4" customFormat="1" ht="41.25" customHeight="1">
      <c r="A14" s="287" t="s">
        <v>137</v>
      </c>
      <c r="B14" s="288"/>
      <c r="C14" s="288"/>
      <c r="D14" s="289" t="s">
        <v>138</v>
      </c>
      <c r="E14" s="290"/>
      <c r="F14" s="342"/>
      <c r="G14" s="292">
        <f>H14+I14</f>
        <v>47999254.62</v>
      </c>
      <c r="H14" s="292">
        <f>H15</f>
        <v>41006763.129999995</v>
      </c>
      <c r="I14" s="292">
        <f>I15</f>
        <v>6992491.49</v>
      </c>
      <c r="J14" s="292">
        <f>J15</f>
        <v>6678920</v>
      </c>
    </row>
    <row r="15" spans="1:10" s="4" customFormat="1" ht="41.25" customHeight="1">
      <c r="A15" s="287" t="s">
        <v>139</v>
      </c>
      <c r="B15" s="288"/>
      <c r="C15" s="288"/>
      <c r="D15" s="289" t="s">
        <v>138</v>
      </c>
      <c r="E15" s="290"/>
      <c r="F15" s="342"/>
      <c r="G15" s="292">
        <f aca="true" t="shared" si="0" ref="G15:G79">H15+I15</f>
        <v>47999254.62</v>
      </c>
      <c r="H15" s="292">
        <f>H16+H24+H33+H47+H54+H67</f>
        <v>41006763.129999995</v>
      </c>
      <c r="I15" s="292">
        <f>I16+I24+I33+I47+I54+I67</f>
        <v>6992491.49</v>
      </c>
      <c r="J15" s="292">
        <f>J16+J24+J33+J47+J54+J67</f>
        <v>6678920</v>
      </c>
    </row>
    <row r="16" spans="1:10" s="4" customFormat="1" ht="31.5" customHeight="1">
      <c r="A16" s="195"/>
      <c r="B16" s="195" t="s">
        <v>382</v>
      </c>
      <c r="C16" s="195"/>
      <c r="D16" s="196" t="s">
        <v>383</v>
      </c>
      <c r="E16" s="291"/>
      <c r="F16" s="343"/>
      <c r="G16" s="293">
        <f t="shared" si="0"/>
        <v>658527.5800000001</v>
      </c>
      <c r="H16" s="293">
        <f>H17</f>
        <v>658527.5800000001</v>
      </c>
      <c r="I16" s="293">
        <f>I17</f>
        <v>0</v>
      </c>
      <c r="J16" s="293">
        <f>J17</f>
        <v>0</v>
      </c>
    </row>
    <row r="17" spans="1:10" s="302" customFormat="1" ht="48.75" customHeight="1">
      <c r="A17" s="204" t="s">
        <v>144</v>
      </c>
      <c r="B17" s="298" t="s">
        <v>145</v>
      </c>
      <c r="C17" s="298" t="s">
        <v>146</v>
      </c>
      <c r="D17" s="299" t="s">
        <v>147</v>
      </c>
      <c r="E17" s="300"/>
      <c r="F17" s="344"/>
      <c r="G17" s="317">
        <f t="shared" si="0"/>
        <v>658527.5800000001</v>
      </c>
      <c r="H17" s="301">
        <f>SUM(H18:H23)</f>
        <v>658527.5800000001</v>
      </c>
      <c r="I17" s="301">
        <f>SUM(I18:I21)</f>
        <v>0</v>
      </c>
      <c r="J17" s="301">
        <f>SUM(J18:J21)</f>
        <v>0</v>
      </c>
    </row>
    <row r="18" spans="1:10" s="3" customFormat="1" ht="53.25" customHeight="1">
      <c r="A18" s="31"/>
      <c r="B18" s="32"/>
      <c r="C18" s="32"/>
      <c r="D18" s="33"/>
      <c r="E18" s="34" t="s">
        <v>342</v>
      </c>
      <c r="F18" s="341" t="s">
        <v>359</v>
      </c>
      <c r="G18" s="320">
        <f t="shared" si="0"/>
        <v>50000</v>
      </c>
      <c r="H18" s="294">
        <v>50000</v>
      </c>
      <c r="I18" s="295"/>
      <c r="J18" s="295"/>
    </row>
    <row r="19" spans="1:10" s="3" customFormat="1" ht="76.5" customHeight="1">
      <c r="A19" s="35"/>
      <c r="B19" s="36"/>
      <c r="C19" s="36"/>
      <c r="D19" s="37"/>
      <c r="E19" s="34" t="s">
        <v>343</v>
      </c>
      <c r="F19" s="341" t="s">
        <v>359</v>
      </c>
      <c r="G19" s="320">
        <f t="shared" si="0"/>
        <v>70000</v>
      </c>
      <c r="H19" s="294">
        <f>60000+10000</f>
        <v>70000</v>
      </c>
      <c r="I19" s="296"/>
      <c r="J19" s="296"/>
    </row>
    <row r="20" spans="1:10" s="3" customFormat="1" ht="56.25" customHeight="1">
      <c r="A20" s="35"/>
      <c r="B20" s="36"/>
      <c r="C20" s="36"/>
      <c r="D20" s="37"/>
      <c r="E20" s="38" t="s">
        <v>503</v>
      </c>
      <c r="F20" s="341" t="s">
        <v>359</v>
      </c>
      <c r="G20" s="320">
        <f t="shared" si="0"/>
        <v>99000</v>
      </c>
      <c r="H20" s="294">
        <f>50000+49000</f>
        <v>99000</v>
      </c>
      <c r="I20" s="296"/>
      <c r="J20" s="296"/>
    </row>
    <row r="21" spans="1:10" s="3" customFormat="1" ht="57.75" customHeight="1">
      <c r="A21" s="35"/>
      <c r="B21" s="36"/>
      <c r="C21" s="36"/>
      <c r="D21" s="37"/>
      <c r="E21" s="34" t="s">
        <v>360</v>
      </c>
      <c r="F21" s="341" t="s">
        <v>359</v>
      </c>
      <c r="G21" s="320">
        <f t="shared" si="0"/>
        <v>137200</v>
      </c>
      <c r="H21" s="294">
        <v>137200</v>
      </c>
      <c r="I21" s="295"/>
      <c r="J21" s="296"/>
    </row>
    <row r="22" spans="1:10" s="3" customFormat="1" ht="49.5" customHeight="1">
      <c r="A22" s="35"/>
      <c r="B22" s="36"/>
      <c r="C22" s="36"/>
      <c r="D22" s="37"/>
      <c r="E22" s="39" t="s">
        <v>504</v>
      </c>
      <c r="F22" s="341" t="s">
        <v>478</v>
      </c>
      <c r="G22" s="320">
        <f>H22+I22</f>
        <v>285127.58</v>
      </c>
      <c r="H22" s="294">
        <v>285127.58</v>
      </c>
      <c r="I22" s="303"/>
      <c r="J22" s="296"/>
    </row>
    <row r="23" spans="1:10" s="3" customFormat="1" ht="65.25" customHeight="1">
      <c r="A23" s="35"/>
      <c r="B23" s="36"/>
      <c r="C23" s="36"/>
      <c r="D23" s="37"/>
      <c r="E23" s="39" t="s">
        <v>502</v>
      </c>
      <c r="F23" s="341" t="s">
        <v>505</v>
      </c>
      <c r="G23" s="320">
        <f t="shared" si="0"/>
        <v>17200</v>
      </c>
      <c r="H23" s="294">
        <v>17200</v>
      </c>
      <c r="I23" s="303"/>
      <c r="J23" s="296"/>
    </row>
    <row r="24" spans="1:10" s="309" customFormat="1" ht="30" customHeight="1">
      <c r="A24" s="198"/>
      <c r="B24" s="198" t="s">
        <v>384</v>
      </c>
      <c r="C24" s="198"/>
      <c r="D24" s="199" t="s">
        <v>385</v>
      </c>
      <c r="E24" s="307"/>
      <c r="F24" s="345"/>
      <c r="G24" s="308">
        <f t="shared" si="0"/>
        <v>8660230</v>
      </c>
      <c r="H24" s="308">
        <f>H25+H27+H29+H31</f>
        <v>8660230</v>
      </c>
      <c r="I24" s="308">
        <f>I25+I27+I29+I31</f>
        <v>0</v>
      </c>
      <c r="J24" s="308">
        <f>J25+J27+J29+J31</f>
        <v>0</v>
      </c>
    </row>
    <row r="25" spans="1:10" s="305" customFormat="1" ht="44.25" customHeight="1">
      <c r="A25" s="204" t="s">
        <v>148</v>
      </c>
      <c r="B25" s="298" t="s">
        <v>149</v>
      </c>
      <c r="C25" s="298" t="s">
        <v>150</v>
      </c>
      <c r="D25" s="299" t="s">
        <v>151</v>
      </c>
      <c r="E25" s="304"/>
      <c r="F25" s="344"/>
      <c r="G25" s="317">
        <f t="shared" si="0"/>
        <v>5576430</v>
      </c>
      <c r="H25" s="301">
        <f>H26</f>
        <v>5576430</v>
      </c>
      <c r="I25" s="301">
        <f>I26</f>
        <v>0</v>
      </c>
      <c r="J25" s="301">
        <f>J26</f>
        <v>0</v>
      </c>
    </row>
    <row r="26" spans="1:10" s="5" customFormat="1" ht="66.75" customHeight="1">
      <c r="A26" s="31"/>
      <c r="B26" s="32"/>
      <c r="C26" s="32"/>
      <c r="D26" s="33"/>
      <c r="E26" s="39" t="s">
        <v>461</v>
      </c>
      <c r="F26" s="341" t="s">
        <v>359</v>
      </c>
      <c r="G26" s="320">
        <f t="shared" si="0"/>
        <v>5576430</v>
      </c>
      <c r="H26" s="294">
        <v>5576430</v>
      </c>
      <c r="I26" s="294"/>
      <c r="J26" s="296"/>
    </row>
    <row r="27" spans="1:10" s="302" customFormat="1" ht="71.25" customHeight="1">
      <c r="A27" s="204" t="s">
        <v>152</v>
      </c>
      <c r="B27" s="298" t="s">
        <v>153</v>
      </c>
      <c r="C27" s="298" t="s">
        <v>154</v>
      </c>
      <c r="D27" s="251" t="s">
        <v>155</v>
      </c>
      <c r="E27" s="300"/>
      <c r="F27" s="344"/>
      <c r="G27" s="317">
        <f t="shared" si="0"/>
        <v>1631700</v>
      </c>
      <c r="H27" s="301">
        <f>H28</f>
        <v>1631700</v>
      </c>
      <c r="I27" s="301">
        <f>I28</f>
        <v>0</v>
      </c>
      <c r="J27" s="301">
        <f>J28</f>
        <v>0</v>
      </c>
    </row>
    <row r="28" spans="1:10" s="6" customFormat="1" ht="78" customHeight="1">
      <c r="A28" s="31"/>
      <c r="B28" s="32"/>
      <c r="C28" s="32"/>
      <c r="D28" s="41"/>
      <c r="E28" s="34" t="s">
        <v>344</v>
      </c>
      <c r="F28" s="341" t="s">
        <v>363</v>
      </c>
      <c r="G28" s="320">
        <f t="shared" si="0"/>
        <v>1631700</v>
      </c>
      <c r="H28" s="294">
        <f>1574000+20000+37700</f>
        <v>1631700</v>
      </c>
      <c r="I28" s="294"/>
      <c r="J28" s="296"/>
    </row>
    <row r="29" spans="1:12" s="302" customFormat="1" ht="40.5" customHeight="1">
      <c r="A29" s="204" t="s">
        <v>156</v>
      </c>
      <c r="B29" s="298" t="s">
        <v>157</v>
      </c>
      <c r="C29" s="298" t="s">
        <v>158</v>
      </c>
      <c r="D29" s="306" t="s">
        <v>159</v>
      </c>
      <c r="E29" s="304"/>
      <c r="F29" s="344"/>
      <c r="G29" s="317">
        <f t="shared" si="0"/>
        <v>1402100</v>
      </c>
      <c r="H29" s="301">
        <f>H30</f>
        <v>1402100</v>
      </c>
      <c r="I29" s="315">
        <f>I30</f>
        <v>0</v>
      </c>
      <c r="J29" s="315">
        <f>J30</f>
        <v>0</v>
      </c>
      <c r="K29" s="314">
        <f>K30</f>
        <v>0</v>
      </c>
      <c r="L29" s="191"/>
    </row>
    <row r="30" spans="1:10" s="6" customFormat="1" ht="55.5" customHeight="1">
      <c r="A30" s="31"/>
      <c r="B30" s="32"/>
      <c r="C30" s="32"/>
      <c r="D30" s="41"/>
      <c r="E30" s="39" t="s">
        <v>361</v>
      </c>
      <c r="F30" s="341" t="s">
        <v>359</v>
      </c>
      <c r="G30" s="320">
        <f t="shared" si="0"/>
        <v>1402100</v>
      </c>
      <c r="H30" s="294">
        <f>1352100+50000</f>
        <v>1402100</v>
      </c>
      <c r="I30" s="294"/>
      <c r="J30" s="296"/>
    </row>
    <row r="31" spans="1:10" s="302" customFormat="1" ht="47.25" customHeight="1">
      <c r="A31" s="204" t="s">
        <v>386</v>
      </c>
      <c r="B31" s="204" t="s">
        <v>388</v>
      </c>
      <c r="C31" s="204" t="s">
        <v>158</v>
      </c>
      <c r="D31" s="251" t="s">
        <v>387</v>
      </c>
      <c r="E31" s="304"/>
      <c r="F31" s="344"/>
      <c r="G31" s="317">
        <f t="shared" si="0"/>
        <v>50000</v>
      </c>
      <c r="H31" s="301">
        <f>H32</f>
        <v>50000</v>
      </c>
      <c r="I31" s="301">
        <f>I32</f>
        <v>0</v>
      </c>
      <c r="J31" s="301">
        <f>J32</f>
        <v>0</v>
      </c>
    </row>
    <row r="32" spans="1:10" s="6" customFormat="1" ht="56.25" customHeight="1">
      <c r="A32" s="31"/>
      <c r="B32" s="32"/>
      <c r="C32" s="32"/>
      <c r="D32" s="41"/>
      <c r="E32" s="39" t="s">
        <v>461</v>
      </c>
      <c r="F32" s="341" t="s">
        <v>359</v>
      </c>
      <c r="G32" s="320">
        <f t="shared" si="0"/>
        <v>50000</v>
      </c>
      <c r="H32" s="294">
        <v>50000</v>
      </c>
      <c r="I32" s="294"/>
      <c r="J32" s="296"/>
    </row>
    <row r="33" spans="1:10" s="302" customFormat="1" ht="54.75" customHeight="1">
      <c r="A33" s="198"/>
      <c r="B33" s="198" t="s">
        <v>389</v>
      </c>
      <c r="C33" s="198"/>
      <c r="D33" s="199" t="s">
        <v>390</v>
      </c>
      <c r="E33" s="307"/>
      <c r="F33" s="345"/>
      <c r="G33" s="308">
        <f t="shared" si="0"/>
        <v>10110542</v>
      </c>
      <c r="H33" s="308">
        <f>H34+H36+H38+H40+H42</f>
        <v>10110542</v>
      </c>
      <c r="I33" s="308">
        <f>I34+I36+I38+I40+I42</f>
        <v>0</v>
      </c>
      <c r="J33" s="308">
        <f>J34+J36+J38+J40+J42</f>
        <v>0</v>
      </c>
    </row>
    <row r="34" spans="1:10" s="318" customFormat="1" ht="62.25" customHeight="1">
      <c r="A34" s="204" t="s">
        <v>391</v>
      </c>
      <c r="B34" s="204" t="s">
        <v>392</v>
      </c>
      <c r="C34" s="204" t="s">
        <v>162</v>
      </c>
      <c r="D34" s="205" t="s">
        <v>393</v>
      </c>
      <c r="E34" s="316"/>
      <c r="F34" s="346"/>
      <c r="G34" s="317">
        <f t="shared" si="0"/>
        <v>3300</v>
      </c>
      <c r="H34" s="317">
        <f>H35</f>
        <v>3300</v>
      </c>
      <c r="I34" s="317">
        <f>I35</f>
        <v>0</v>
      </c>
      <c r="J34" s="317">
        <f>J35</f>
        <v>0</v>
      </c>
    </row>
    <row r="35" spans="1:10" s="313" customFormat="1" ht="67.5" customHeight="1">
      <c r="A35" s="219"/>
      <c r="B35" s="219"/>
      <c r="C35" s="219"/>
      <c r="D35" s="310"/>
      <c r="E35" s="311" t="s">
        <v>462</v>
      </c>
      <c r="F35" s="347" t="s">
        <v>465</v>
      </c>
      <c r="G35" s="320">
        <f t="shared" si="0"/>
        <v>3300</v>
      </c>
      <c r="H35" s="312">
        <v>3300</v>
      </c>
      <c r="I35" s="312"/>
      <c r="J35" s="312"/>
    </row>
    <row r="36" spans="1:10" s="318" customFormat="1" ht="102.75" customHeight="1">
      <c r="A36" s="204" t="s">
        <v>394</v>
      </c>
      <c r="B36" s="204" t="s">
        <v>395</v>
      </c>
      <c r="C36" s="204" t="s">
        <v>166</v>
      </c>
      <c r="D36" s="251" t="s">
        <v>396</v>
      </c>
      <c r="E36" s="316"/>
      <c r="F36" s="346"/>
      <c r="G36" s="317">
        <f t="shared" si="0"/>
        <v>192000</v>
      </c>
      <c r="H36" s="317">
        <f>SUM(H37)</f>
        <v>192000</v>
      </c>
      <c r="I36" s="317">
        <f>SUM(I37)</f>
        <v>0</v>
      </c>
      <c r="J36" s="317">
        <f>SUM(J37)</f>
        <v>0</v>
      </c>
    </row>
    <row r="37" spans="1:10" s="313" customFormat="1" ht="61.5" customHeight="1">
      <c r="A37" s="219"/>
      <c r="B37" s="219"/>
      <c r="C37" s="219"/>
      <c r="D37" s="310"/>
      <c r="E37" s="311" t="s">
        <v>463</v>
      </c>
      <c r="F37" s="347" t="s">
        <v>464</v>
      </c>
      <c r="G37" s="320">
        <f t="shared" si="0"/>
        <v>192000</v>
      </c>
      <c r="H37" s="312">
        <v>192000</v>
      </c>
      <c r="I37" s="312"/>
      <c r="J37" s="312"/>
    </row>
    <row r="38" spans="1:10" s="318" customFormat="1" ht="130.5" customHeight="1">
      <c r="A38" s="204" t="s">
        <v>397</v>
      </c>
      <c r="B38" s="204" t="s">
        <v>398</v>
      </c>
      <c r="C38" s="204" t="s">
        <v>218</v>
      </c>
      <c r="D38" s="251" t="s">
        <v>399</v>
      </c>
      <c r="E38" s="316"/>
      <c r="F38" s="346"/>
      <c r="G38" s="317">
        <f t="shared" si="0"/>
        <v>128000</v>
      </c>
      <c r="H38" s="317">
        <f>H39</f>
        <v>128000</v>
      </c>
      <c r="I38" s="317">
        <f>I39</f>
        <v>0</v>
      </c>
      <c r="J38" s="317">
        <f>J39</f>
        <v>0</v>
      </c>
    </row>
    <row r="39" spans="1:10" s="313" customFormat="1" ht="64.5" customHeight="1">
      <c r="A39" s="219"/>
      <c r="B39" s="219"/>
      <c r="C39" s="219"/>
      <c r="D39" s="310"/>
      <c r="E39" s="311" t="s">
        <v>466</v>
      </c>
      <c r="F39" s="347" t="s">
        <v>478</v>
      </c>
      <c r="G39" s="320">
        <f t="shared" si="0"/>
        <v>128000</v>
      </c>
      <c r="H39" s="312">
        <v>128000</v>
      </c>
      <c r="I39" s="312"/>
      <c r="J39" s="312"/>
    </row>
    <row r="40" spans="1:10" s="318" customFormat="1" ht="71.25" customHeight="1">
      <c r="A40" s="204" t="s">
        <v>168</v>
      </c>
      <c r="B40" s="204" t="s">
        <v>169</v>
      </c>
      <c r="C40" s="204" t="s">
        <v>170</v>
      </c>
      <c r="D40" s="319" t="s">
        <v>171</v>
      </c>
      <c r="E40" s="316"/>
      <c r="F40" s="346"/>
      <c r="G40" s="317">
        <f t="shared" si="0"/>
        <v>8569242</v>
      </c>
      <c r="H40" s="317">
        <f>H41</f>
        <v>8569242</v>
      </c>
      <c r="I40" s="317">
        <f>I41</f>
        <v>0</v>
      </c>
      <c r="J40" s="317">
        <f>J41</f>
        <v>0</v>
      </c>
    </row>
    <row r="41" spans="1:10" s="313" customFormat="1" ht="57.75" customHeight="1">
      <c r="A41" s="219"/>
      <c r="B41" s="219"/>
      <c r="C41" s="219"/>
      <c r="D41" s="310"/>
      <c r="E41" s="311" t="s">
        <v>467</v>
      </c>
      <c r="F41" s="347" t="s">
        <v>478</v>
      </c>
      <c r="G41" s="320">
        <f t="shared" si="0"/>
        <v>8569242</v>
      </c>
      <c r="H41" s="312">
        <v>8569242</v>
      </c>
      <c r="I41" s="312"/>
      <c r="J41" s="312"/>
    </row>
    <row r="42" spans="1:10" s="302" customFormat="1" ht="60.75" customHeight="1">
      <c r="A42" s="204" t="s">
        <v>172</v>
      </c>
      <c r="B42" s="298" t="s">
        <v>173</v>
      </c>
      <c r="C42" s="298" t="s">
        <v>170</v>
      </c>
      <c r="D42" s="306" t="s">
        <v>174</v>
      </c>
      <c r="E42" s="304"/>
      <c r="F42" s="344"/>
      <c r="G42" s="317">
        <f t="shared" si="0"/>
        <v>1218000</v>
      </c>
      <c r="H42" s="301">
        <f>SUM(H43:H46)</f>
        <v>1218000</v>
      </c>
      <c r="I42" s="301">
        <f>SUM(I43:I46)</f>
        <v>0</v>
      </c>
      <c r="J42" s="301">
        <f>SUM(J43:J46)</f>
        <v>0</v>
      </c>
    </row>
    <row r="43" spans="1:10" s="6" customFormat="1" ht="52.5" customHeight="1">
      <c r="A43" s="31"/>
      <c r="B43" s="32"/>
      <c r="C43" s="32"/>
      <c r="D43" s="41"/>
      <c r="E43" s="39" t="s">
        <v>345</v>
      </c>
      <c r="F43" s="341" t="s">
        <v>364</v>
      </c>
      <c r="G43" s="320">
        <f t="shared" si="0"/>
        <v>308000</v>
      </c>
      <c r="H43" s="294">
        <v>308000</v>
      </c>
      <c r="I43" s="294"/>
      <c r="J43" s="296"/>
    </row>
    <row r="44" spans="1:10" s="3" customFormat="1" ht="52.5" customHeight="1">
      <c r="A44" s="31"/>
      <c r="B44" s="32"/>
      <c r="C44" s="32"/>
      <c r="D44" s="42"/>
      <c r="E44" s="43" t="s">
        <v>362</v>
      </c>
      <c r="F44" s="341" t="s">
        <v>359</v>
      </c>
      <c r="G44" s="320">
        <f t="shared" si="0"/>
        <v>760000</v>
      </c>
      <c r="H44" s="294">
        <v>760000</v>
      </c>
      <c r="I44" s="295"/>
      <c r="J44" s="295"/>
    </row>
    <row r="45" spans="1:10" s="3" customFormat="1" ht="52.5" customHeight="1">
      <c r="A45" s="31"/>
      <c r="B45" s="32"/>
      <c r="C45" s="32"/>
      <c r="D45" s="321"/>
      <c r="E45" s="43" t="s">
        <v>468</v>
      </c>
      <c r="F45" s="341" t="s">
        <v>469</v>
      </c>
      <c r="G45" s="320">
        <f t="shared" si="0"/>
        <v>50000</v>
      </c>
      <c r="H45" s="294">
        <v>50000</v>
      </c>
      <c r="I45" s="295"/>
      <c r="J45" s="295"/>
    </row>
    <row r="46" spans="1:10" s="3" customFormat="1" ht="65.25" customHeight="1">
      <c r="A46" s="31"/>
      <c r="B46" s="32"/>
      <c r="C46" s="32"/>
      <c r="D46" s="321"/>
      <c r="E46" s="43" t="s">
        <v>470</v>
      </c>
      <c r="F46" s="341" t="s">
        <v>471</v>
      </c>
      <c r="G46" s="320">
        <f t="shared" si="0"/>
        <v>100000</v>
      </c>
      <c r="H46" s="294">
        <v>100000</v>
      </c>
      <c r="I46" s="295"/>
      <c r="J46" s="295"/>
    </row>
    <row r="47" spans="1:10" s="302" customFormat="1" ht="35.25" customHeight="1">
      <c r="A47" s="198"/>
      <c r="B47" s="198" t="s">
        <v>400</v>
      </c>
      <c r="C47" s="198"/>
      <c r="D47" s="199" t="s">
        <v>401</v>
      </c>
      <c r="E47" s="323"/>
      <c r="F47" s="345"/>
      <c r="G47" s="308">
        <f t="shared" si="0"/>
        <v>20919720</v>
      </c>
      <c r="H47" s="308">
        <f>H48+H50+H52</f>
        <v>19574400</v>
      </c>
      <c r="I47" s="308">
        <f>I48+I50+I52</f>
        <v>1345320</v>
      </c>
      <c r="J47" s="308">
        <f>J48+J50+J52</f>
        <v>1345320</v>
      </c>
    </row>
    <row r="48" spans="1:10" s="302" customFormat="1" ht="50.25" customHeight="1">
      <c r="A48" s="204" t="s">
        <v>175</v>
      </c>
      <c r="B48" s="298" t="s">
        <v>176</v>
      </c>
      <c r="C48" s="298" t="s">
        <v>177</v>
      </c>
      <c r="D48" s="322" t="s">
        <v>178</v>
      </c>
      <c r="E48" s="319"/>
      <c r="F48" s="348"/>
      <c r="G48" s="317">
        <f t="shared" si="0"/>
        <v>2217300</v>
      </c>
      <c r="H48" s="301">
        <f>H49</f>
        <v>2217300</v>
      </c>
      <c r="I48" s="301">
        <f>I49</f>
        <v>0</v>
      </c>
      <c r="J48" s="301">
        <f>J49</f>
        <v>0</v>
      </c>
    </row>
    <row r="49" spans="1:10" s="3" customFormat="1" ht="59.25" customHeight="1">
      <c r="A49" s="31"/>
      <c r="B49" s="32"/>
      <c r="C49" s="32"/>
      <c r="D49" s="37"/>
      <c r="E49" s="367" t="s">
        <v>467</v>
      </c>
      <c r="F49" s="341" t="s">
        <v>359</v>
      </c>
      <c r="G49" s="320">
        <f t="shared" si="0"/>
        <v>2217300</v>
      </c>
      <c r="H49" s="294">
        <f>1830000+387300</f>
        <v>2217300</v>
      </c>
      <c r="I49" s="295"/>
      <c r="J49" s="296"/>
    </row>
    <row r="50" spans="1:10" s="302" customFormat="1" ht="50.25" customHeight="1">
      <c r="A50" s="204" t="s">
        <v>179</v>
      </c>
      <c r="B50" s="298" t="s">
        <v>180</v>
      </c>
      <c r="C50" s="298" t="s">
        <v>177</v>
      </c>
      <c r="D50" s="322" t="s">
        <v>181</v>
      </c>
      <c r="E50" s="368"/>
      <c r="F50" s="348"/>
      <c r="G50" s="317">
        <f t="shared" si="0"/>
        <v>18402420</v>
      </c>
      <c r="H50" s="301">
        <f>H51</f>
        <v>17357100</v>
      </c>
      <c r="I50" s="301">
        <f>I51</f>
        <v>1045320</v>
      </c>
      <c r="J50" s="301">
        <f>J51</f>
        <v>1045320</v>
      </c>
    </row>
    <row r="51" spans="1:10" s="3" customFormat="1" ht="50.25" customHeight="1">
      <c r="A51" s="31"/>
      <c r="B51" s="32"/>
      <c r="C51" s="32"/>
      <c r="D51" s="37"/>
      <c r="E51" s="367" t="s">
        <v>467</v>
      </c>
      <c r="F51" s="341" t="s">
        <v>359</v>
      </c>
      <c r="G51" s="320">
        <f t="shared" si="0"/>
        <v>18402420</v>
      </c>
      <c r="H51" s="294">
        <f>13680400+2536400+1140300</f>
        <v>17357100</v>
      </c>
      <c r="I51" s="295">
        <f>1243320-198000</f>
        <v>1045320</v>
      </c>
      <c r="J51" s="296">
        <f>1045320</f>
        <v>1045320</v>
      </c>
    </row>
    <row r="52" spans="1:10" s="302" customFormat="1" ht="50.25" customHeight="1">
      <c r="A52" s="204" t="s">
        <v>182</v>
      </c>
      <c r="B52" s="298" t="s">
        <v>183</v>
      </c>
      <c r="C52" s="298" t="s">
        <v>184</v>
      </c>
      <c r="D52" s="322" t="s">
        <v>185</v>
      </c>
      <c r="E52" s="319"/>
      <c r="F52" s="348"/>
      <c r="G52" s="317">
        <f t="shared" si="0"/>
        <v>300000</v>
      </c>
      <c r="H52" s="301">
        <f>H53</f>
        <v>0</v>
      </c>
      <c r="I52" s="301">
        <f>I53</f>
        <v>300000</v>
      </c>
      <c r="J52" s="301">
        <f>J53</f>
        <v>300000</v>
      </c>
    </row>
    <row r="53" spans="1:10" s="3" customFormat="1" ht="50.25" customHeight="1">
      <c r="A53" s="31"/>
      <c r="B53" s="32"/>
      <c r="C53" s="32"/>
      <c r="D53" s="37"/>
      <c r="E53" s="34" t="s">
        <v>368</v>
      </c>
      <c r="F53" s="341" t="s">
        <v>369</v>
      </c>
      <c r="G53" s="320">
        <f t="shared" si="0"/>
        <v>300000</v>
      </c>
      <c r="H53" s="294"/>
      <c r="I53" s="295">
        <v>300000</v>
      </c>
      <c r="J53" s="296">
        <v>300000</v>
      </c>
    </row>
    <row r="54" spans="1:10" s="302" customFormat="1" ht="32.25" customHeight="1">
      <c r="A54" s="198"/>
      <c r="B54" s="198" t="s">
        <v>402</v>
      </c>
      <c r="C54" s="198"/>
      <c r="D54" s="202" t="s">
        <v>403</v>
      </c>
      <c r="E54" s="199"/>
      <c r="F54" s="349"/>
      <c r="G54" s="308">
        <f t="shared" si="0"/>
        <v>6810016.140000001</v>
      </c>
      <c r="H54" s="308">
        <f>H55+H57+H59+H61+H63+H65</f>
        <v>1458444.65</v>
      </c>
      <c r="I54" s="308">
        <f>I55+I57+I59+I61+I63+I65</f>
        <v>5351571.49</v>
      </c>
      <c r="J54" s="308">
        <f>J55+J57+J59+J61+J63+J65</f>
        <v>5333600</v>
      </c>
    </row>
    <row r="55" spans="1:10" s="302" customFormat="1" ht="38.25" customHeight="1">
      <c r="A55" s="204" t="s">
        <v>186</v>
      </c>
      <c r="B55" s="204" t="s">
        <v>187</v>
      </c>
      <c r="C55" s="204" t="s">
        <v>188</v>
      </c>
      <c r="D55" s="205" t="s">
        <v>189</v>
      </c>
      <c r="E55" s="319"/>
      <c r="F55" s="348"/>
      <c r="G55" s="317">
        <f t="shared" si="0"/>
        <v>120000</v>
      </c>
      <c r="H55" s="301">
        <f>H56</f>
        <v>120000</v>
      </c>
      <c r="I55" s="301">
        <f>I56</f>
        <v>0</v>
      </c>
      <c r="J55" s="301">
        <f>J56</f>
        <v>0</v>
      </c>
    </row>
    <row r="56" spans="1:10" s="3" customFormat="1" ht="50.25" customHeight="1">
      <c r="A56" s="31"/>
      <c r="B56" s="32"/>
      <c r="C56" s="32"/>
      <c r="D56" s="37"/>
      <c r="E56" s="34" t="s">
        <v>371</v>
      </c>
      <c r="F56" s="341" t="s">
        <v>359</v>
      </c>
      <c r="G56" s="320">
        <f t="shared" si="0"/>
        <v>120000</v>
      </c>
      <c r="H56" s="294">
        <v>120000</v>
      </c>
      <c r="I56" s="295"/>
      <c r="J56" s="296"/>
    </row>
    <row r="57" spans="1:10" s="302" customFormat="1" ht="68.25" customHeight="1">
      <c r="A57" s="204" t="s">
        <v>190</v>
      </c>
      <c r="B57" s="298" t="s">
        <v>191</v>
      </c>
      <c r="C57" s="298" t="s">
        <v>192</v>
      </c>
      <c r="D57" s="322" t="s">
        <v>193</v>
      </c>
      <c r="E57" s="319"/>
      <c r="F57" s="348"/>
      <c r="G57" s="317">
        <f t="shared" si="0"/>
        <v>1452371.49</v>
      </c>
      <c r="H57" s="301">
        <f>H58</f>
        <v>1100800</v>
      </c>
      <c r="I57" s="301">
        <f>I58</f>
        <v>351571.49</v>
      </c>
      <c r="J57" s="301">
        <f>J58</f>
        <v>333600</v>
      </c>
    </row>
    <row r="58" spans="1:10" s="3" customFormat="1" ht="50.25" customHeight="1">
      <c r="A58" s="31"/>
      <c r="B58" s="32"/>
      <c r="C58" s="32"/>
      <c r="D58" s="37"/>
      <c r="E58" s="147" t="s">
        <v>373</v>
      </c>
      <c r="F58" s="350" t="s">
        <v>359</v>
      </c>
      <c r="G58" s="320">
        <f t="shared" si="0"/>
        <v>1452371.49</v>
      </c>
      <c r="H58" s="294">
        <f>986800+114000</f>
        <v>1100800</v>
      </c>
      <c r="I58" s="295">
        <f>400571.49-49000</f>
        <v>351571.49</v>
      </c>
      <c r="J58" s="296">
        <v>333600</v>
      </c>
    </row>
    <row r="59" spans="1:10" s="302" customFormat="1" ht="66.75" customHeight="1">
      <c r="A59" s="204" t="s">
        <v>410</v>
      </c>
      <c r="B59" s="204" t="s">
        <v>411</v>
      </c>
      <c r="C59" s="204" t="s">
        <v>192</v>
      </c>
      <c r="D59" s="251" t="s">
        <v>412</v>
      </c>
      <c r="E59" s="319"/>
      <c r="F59" s="348"/>
      <c r="G59" s="317">
        <f t="shared" si="0"/>
        <v>5000000</v>
      </c>
      <c r="H59" s="301">
        <f>H60</f>
        <v>0</v>
      </c>
      <c r="I59" s="301">
        <f>I60</f>
        <v>5000000</v>
      </c>
      <c r="J59" s="301">
        <f>J60</f>
        <v>5000000</v>
      </c>
    </row>
    <row r="60" spans="1:10" s="3" customFormat="1" ht="50.25" customHeight="1">
      <c r="A60" s="31"/>
      <c r="B60" s="32"/>
      <c r="C60" s="32"/>
      <c r="D60" s="37"/>
      <c r="E60" s="147" t="s">
        <v>373</v>
      </c>
      <c r="F60" s="350" t="s">
        <v>359</v>
      </c>
      <c r="G60" s="320">
        <f t="shared" si="0"/>
        <v>5000000</v>
      </c>
      <c r="H60" s="294"/>
      <c r="I60" s="295">
        <v>5000000</v>
      </c>
      <c r="J60" s="296">
        <v>5000000</v>
      </c>
    </row>
    <row r="61" spans="1:10" s="302" customFormat="1" ht="50.25" customHeight="1">
      <c r="A61" s="204" t="s">
        <v>194</v>
      </c>
      <c r="B61" s="204" t="s">
        <v>195</v>
      </c>
      <c r="C61" s="204" t="s">
        <v>192</v>
      </c>
      <c r="D61" s="251" t="s">
        <v>196</v>
      </c>
      <c r="E61" s="319"/>
      <c r="F61" s="348"/>
      <c r="G61" s="317">
        <f t="shared" si="0"/>
        <v>30000</v>
      </c>
      <c r="H61" s="301">
        <f>H62</f>
        <v>30000</v>
      </c>
      <c r="I61" s="301">
        <f>I62</f>
        <v>0</v>
      </c>
      <c r="J61" s="301">
        <f>J62</f>
        <v>0</v>
      </c>
    </row>
    <row r="62" spans="1:10" s="3" customFormat="1" ht="50.25" customHeight="1">
      <c r="A62" s="31"/>
      <c r="B62" s="32"/>
      <c r="C62" s="32"/>
      <c r="D62" s="37"/>
      <c r="E62" s="147" t="s">
        <v>373</v>
      </c>
      <c r="F62" s="350" t="s">
        <v>359</v>
      </c>
      <c r="G62" s="320">
        <f t="shared" si="0"/>
        <v>30000</v>
      </c>
      <c r="H62" s="294">
        <v>30000</v>
      </c>
      <c r="I62" s="295"/>
      <c r="J62" s="296"/>
    </row>
    <row r="63" spans="1:10" s="302" customFormat="1" ht="50.25" customHeight="1">
      <c r="A63" s="204" t="s">
        <v>197</v>
      </c>
      <c r="B63" s="298" t="s">
        <v>198</v>
      </c>
      <c r="C63" s="298" t="s">
        <v>199</v>
      </c>
      <c r="D63" s="322" t="s">
        <v>200</v>
      </c>
      <c r="E63" s="319"/>
      <c r="F63" s="348"/>
      <c r="G63" s="317">
        <f t="shared" si="0"/>
        <v>60000</v>
      </c>
      <c r="H63" s="301">
        <f>H64</f>
        <v>60000</v>
      </c>
      <c r="I63" s="301">
        <f>I64</f>
        <v>0</v>
      </c>
      <c r="J63" s="301">
        <f>J64</f>
        <v>0</v>
      </c>
    </row>
    <row r="64" spans="1:10" s="3" customFormat="1" ht="65.25" customHeight="1">
      <c r="A64" s="31"/>
      <c r="B64" s="32"/>
      <c r="C64" s="32"/>
      <c r="D64" s="37"/>
      <c r="E64" s="44" t="s">
        <v>476</v>
      </c>
      <c r="F64" s="341" t="s">
        <v>370</v>
      </c>
      <c r="G64" s="320">
        <f t="shared" si="0"/>
        <v>60000</v>
      </c>
      <c r="H64" s="294">
        <v>60000</v>
      </c>
      <c r="I64" s="295"/>
      <c r="J64" s="296"/>
    </row>
    <row r="65" spans="1:10" s="302" customFormat="1" ht="50.25" customHeight="1">
      <c r="A65" s="204" t="s">
        <v>201</v>
      </c>
      <c r="B65" s="204" t="s">
        <v>202</v>
      </c>
      <c r="C65" s="204" t="s">
        <v>199</v>
      </c>
      <c r="D65" s="251" t="s">
        <v>203</v>
      </c>
      <c r="E65" s="324"/>
      <c r="F65" s="344"/>
      <c r="G65" s="317">
        <f t="shared" si="0"/>
        <v>147644.65</v>
      </c>
      <c r="H65" s="301">
        <f>H66</f>
        <v>147644.65</v>
      </c>
      <c r="I65" s="301">
        <f>I66</f>
        <v>0</v>
      </c>
      <c r="J65" s="301">
        <f>J66</f>
        <v>0</v>
      </c>
    </row>
    <row r="66" spans="1:10" s="3" customFormat="1" ht="64.5" customHeight="1">
      <c r="A66" s="31"/>
      <c r="B66" s="31"/>
      <c r="C66" s="31"/>
      <c r="D66" s="33"/>
      <c r="E66" s="44" t="s">
        <v>467</v>
      </c>
      <c r="F66" s="350" t="s">
        <v>359</v>
      </c>
      <c r="G66" s="320">
        <f t="shared" si="0"/>
        <v>147644.65</v>
      </c>
      <c r="H66" s="294">
        <v>147644.65</v>
      </c>
      <c r="I66" s="295"/>
      <c r="J66" s="296"/>
    </row>
    <row r="67" spans="1:10" s="302" customFormat="1" ht="39.75" customHeight="1">
      <c r="A67" s="198"/>
      <c r="B67" s="198" t="s">
        <v>416</v>
      </c>
      <c r="C67" s="198"/>
      <c r="D67" s="199" t="s">
        <v>417</v>
      </c>
      <c r="E67" s="329"/>
      <c r="F67" s="345"/>
      <c r="G67" s="308">
        <f t="shared" si="0"/>
        <v>840218.9</v>
      </c>
      <c r="H67" s="308">
        <f>H68+H70+H72+H74</f>
        <v>544618.9</v>
      </c>
      <c r="I67" s="308">
        <f>I68+I70+I72+I74</f>
        <v>295600</v>
      </c>
      <c r="J67" s="308">
        <f>J68+J70+J72+J74</f>
        <v>0</v>
      </c>
    </row>
    <row r="68" spans="1:10" s="318" customFormat="1" ht="39.75" customHeight="1">
      <c r="A68" s="204" t="s">
        <v>419</v>
      </c>
      <c r="B68" s="204" t="s">
        <v>418</v>
      </c>
      <c r="C68" s="204" t="s">
        <v>420</v>
      </c>
      <c r="D68" s="251" t="s">
        <v>421</v>
      </c>
      <c r="E68" s="328"/>
      <c r="F68" s="344"/>
      <c r="G68" s="317">
        <f t="shared" si="0"/>
        <v>50000</v>
      </c>
      <c r="H68" s="317">
        <f>H69</f>
        <v>50000</v>
      </c>
      <c r="I68" s="317">
        <f>I69</f>
        <v>0</v>
      </c>
      <c r="J68" s="317">
        <f>J69</f>
        <v>0</v>
      </c>
    </row>
    <row r="69" spans="1:10" s="209" customFormat="1" ht="58.5" customHeight="1">
      <c r="A69" s="219"/>
      <c r="B69" s="219"/>
      <c r="C69" s="219"/>
      <c r="D69" s="325"/>
      <c r="E69" s="326" t="s">
        <v>472</v>
      </c>
      <c r="F69" s="341" t="s">
        <v>359</v>
      </c>
      <c r="G69" s="320">
        <f t="shared" si="0"/>
        <v>50000</v>
      </c>
      <c r="H69" s="312">
        <v>50000</v>
      </c>
      <c r="I69" s="327"/>
      <c r="J69" s="327"/>
    </row>
    <row r="70" spans="1:10" s="318" customFormat="1" ht="39.75" customHeight="1">
      <c r="A70" s="204" t="s">
        <v>204</v>
      </c>
      <c r="B70" s="204" t="s">
        <v>205</v>
      </c>
      <c r="C70" s="204" t="s">
        <v>206</v>
      </c>
      <c r="D70" s="251" t="s">
        <v>207</v>
      </c>
      <c r="E70" s="328"/>
      <c r="F70" s="344"/>
      <c r="G70" s="317">
        <f t="shared" si="0"/>
        <v>424618.9</v>
      </c>
      <c r="H70" s="317">
        <f>H71</f>
        <v>424618.9</v>
      </c>
      <c r="I70" s="317">
        <f>I71</f>
        <v>0</v>
      </c>
      <c r="J70" s="317">
        <f>J71</f>
        <v>0</v>
      </c>
    </row>
    <row r="71" spans="1:10" s="209" customFormat="1" ht="54.75" customHeight="1">
      <c r="A71" s="219"/>
      <c r="B71" s="219"/>
      <c r="C71" s="219"/>
      <c r="D71" s="325"/>
      <c r="E71" s="326" t="s">
        <v>467</v>
      </c>
      <c r="F71" s="341" t="s">
        <v>359</v>
      </c>
      <c r="G71" s="320">
        <f t="shared" si="0"/>
        <v>424618.9</v>
      </c>
      <c r="H71" s="312">
        <f>424618.9</f>
        <v>424618.9</v>
      </c>
      <c r="I71" s="327"/>
      <c r="J71" s="327"/>
    </row>
    <row r="72" spans="1:10" s="318" customFormat="1" ht="39.75" customHeight="1">
      <c r="A72" s="204" t="s">
        <v>422</v>
      </c>
      <c r="B72" s="204" t="s">
        <v>423</v>
      </c>
      <c r="C72" s="204" t="s">
        <v>206</v>
      </c>
      <c r="D72" s="251" t="s">
        <v>424</v>
      </c>
      <c r="E72" s="328"/>
      <c r="F72" s="346"/>
      <c r="G72" s="317">
        <f t="shared" si="0"/>
        <v>70000</v>
      </c>
      <c r="H72" s="317">
        <f>H73</f>
        <v>70000</v>
      </c>
      <c r="I72" s="317">
        <f>I73</f>
        <v>0</v>
      </c>
      <c r="J72" s="317">
        <f>J73</f>
        <v>0</v>
      </c>
    </row>
    <row r="73" spans="1:10" s="209" customFormat="1" ht="64.5" customHeight="1">
      <c r="A73" s="219"/>
      <c r="B73" s="219"/>
      <c r="C73" s="219"/>
      <c r="D73" s="325"/>
      <c r="E73" s="326" t="s">
        <v>473</v>
      </c>
      <c r="F73" s="347" t="s">
        <v>474</v>
      </c>
      <c r="G73" s="320">
        <f t="shared" si="0"/>
        <v>70000</v>
      </c>
      <c r="H73" s="312">
        <v>70000</v>
      </c>
      <c r="I73" s="327"/>
      <c r="J73" s="327"/>
    </row>
    <row r="74" spans="1:10" s="302" customFormat="1" ht="53.25" customHeight="1">
      <c r="A74" s="204" t="s">
        <v>208</v>
      </c>
      <c r="B74" s="298" t="s">
        <v>209</v>
      </c>
      <c r="C74" s="298" t="s">
        <v>210</v>
      </c>
      <c r="D74" s="322" t="s">
        <v>211</v>
      </c>
      <c r="E74" s="324"/>
      <c r="F74" s="344"/>
      <c r="G74" s="317">
        <f t="shared" si="0"/>
        <v>295600</v>
      </c>
      <c r="H74" s="317">
        <f>H75</f>
        <v>0</v>
      </c>
      <c r="I74" s="317">
        <f>I75</f>
        <v>295600</v>
      </c>
      <c r="J74" s="317">
        <f>J75</f>
        <v>0</v>
      </c>
    </row>
    <row r="75" spans="1:10" s="3" customFormat="1" ht="64.5" customHeight="1">
      <c r="A75" s="31"/>
      <c r="B75" s="32"/>
      <c r="C75" s="32"/>
      <c r="D75" s="37"/>
      <c r="E75" s="44" t="s">
        <v>372</v>
      </c>
      <c r="F75" s="341" t="s">
        <v>359</v>
      </c>
      <c r="G75" s="320">
        <f t="shared" si="0"/>
        <v>295600</v>
      </c>
      <c r="H75" s="294"/>
      <c r="I75" s="303">
        <v>295600</v>
      </c>
      <c r="J75" s="294"/>
    </row>
    <row r="76" spans="1:10" s="4" customFormat="1" ht="36.75" customHeight="1">
      <c r="A76" s="287" t="s">
        <v>212</v>
      </c>
      <c r="B76" s="330"/>
      <c r="C76" s="330"/>
      <c r="D76" s="331" t="s">
        <v>425</v>
      </c>
      <c r="E76" s="332"/>
      <c r="F76" s="351"/>
      <c r="G76" s="338">
        <f t="shared" si="0"/>
        <v>862175</v>
      </c>
      <c r="H76" s="292">
        <f aca="true" t="shared" si="1" ref="H76:J78">H77</f>
        <v>862175</v>
      </c>
      <c r="I76" s="292">
        <f t="shared" si="1"/>
        <v>0</v>
      </c>
      <c r="J76" s="292">
        <f t="shared" si="1"/>
        <v>0</v>
      </c>
    </row>
    <row r="77" spans="1:10" s="4" customFormat="1" ht="36.75" customHeight="1">
      <c r="A77" s="287" t="s">
        <v>213</v>
      </c>
      <c r="B77" s="330"/>
      <c r="C77" s="330"/>
      <c r="D77" s="331" t="s">
        <v>425</v>
      </c>
      <c r="E77" s="332"/>
      <c r="F77" s="351"/>
      <c r="G77" s="338">
        <f t="shared" si="0"/>
        <v>862175</v>
      </c>
      <c r="H77" s="292">
        <f t="shared" si="1"/>
        <v>862175</v>
      </c>
      <c r="I77" s="292">
        <f t="shared" si="1"/>
        <v>0</v>
      </c>
      <c r="J77" s="292">
        <f t="shared" si="1"/>
        <v>0</v>
      </c>
    </row>
    <row r="78" spans="1:10" s="4" customFormat="1" ht="36.75" customHeight="1">
      <c r="A78" s="198"/>
      <c r="B78" s="198" t="s">
        <v>426</v>
      </c>
      <c r="C78" s="198"/>
      <c r="D78" s="199" t="s">
        <v>427</v>
      </c>
      <c r="E78" s="333"/>
      <c r="F78" s="352"/>
      <c r="G78" s="308">
        <f t="shared" si="0"/>
        <v>862175</v>
      </c>
      <c r="H78" s="293">
        <f t="shared" si="1"/>
        <v>862175</v>
      </c>
      <c r="I78" s="293">
        <f t="shared" si="1"/>
        <v>0</v>
      </c>
      <c r="J78" s="293">
        <f t="shared" si="1"/>
        <v>0</v>
      </c>
    </row>
    <row r="79" spans="1:10" s="302" customFormat="1" ht="42.75" customHeight="1">
      <c r="A79" s="204" t="s">
        <v>346</v>
      </c>
      <c r="B79" s="298" t="s">
        <v>236</v>
      </c>
      <c r="C79" s="298" t="s">
        <v>233</v>
      </c>
      <c r="D79" s="299" t="s">
        <v>347</v>
      </c>
      <c r="E79" s="334"/>
      <c r="F79" s="344"/>
      <c r="G79" s="317">
        <f t="shared" si="0"/>
        <v>862175</v>
      </c>
      <c r="H79" s="301">
        <f>SUM(H80:H82)</f>
        <v>862175</v>
      </c>
      <c r="I79" s="301">
        <f>SUM(I80:I82)</f>
        <v>0</v>
      </c>
      <c r="J79" s="301">
        <f>SUM(J80:J82)</f>
        <v>0</v>
      </c>
    </row>
    <row r="80" spans="1:10" s="3" customFormat="1" ht="60" customHeight="1">
      <c r="A80" s="31"/>
      <c r="B80" s="32"/>
      <c r="C80" s="32"/>
      <c r="D80" s="33"/>
      <c r="E80" s="46" t="s">
        <v>348</v>
      </c>
      <c r="F80" s="341" t="s">
        <v>359</v>
      </c>
      <c r="G80" s="320">
        <f aca="true" t="shared" si="2" ref="G80:G92">H80+I80</f>
        <v>152664</v>
      </c>
      <c r="H80" s="294">
        <f>139500+33800-20636</f>
        <v>152664</v>
      </c>
      <c r="I80" s="295"/>
      <c r="J80" s="295"/>
    </row>
    <row r="81" spans="1:10" s="3" customFormat="1" ht="72.75" customHeight="1">
      <c r="A81" s="31"/>
      <c r="B81" s="32"/>
      <c r="C81" s="32"/>
      <c r="D81" s="33"/>
      <c r="E81" s="34" t="s">
        <v>349</v>
      </c>
      <c r="F81" s="341" t="s">
        <v>367</v>
      </c>
      <c r="G81" s="320">
        <f t="shared" si="2"/>
        <v>12700</v>
      </c>
      <c r="H81" s="294">
        <v>12700</v>
      </c>
      <c r="I81" s="295"/>
      <c r="J81" s="295"/>
    </row>
    <row r="82" spans="1:10" s="6" customFormat="1" ht="57" customHeight="1">
      <c r="A82" s="31"/>
      <c r="B82" s="32"/>
      <c r="C82" s="32"/>
      <c r="D82" s="33"/>
      <c r="E82" s="34" t="s">
        <v>350</v>
      </c>
      <c r="F82" s="341" t="s">
        <v>359</v>
      </c>
      <c r="G82" s="320">
        <f t="shared" si="2"/>
        <v>696811</v>
      </c>
      <c r="H82" s="294">
        <f>353000+343811</f>
        <v>696811</v>
      </c>
      <c r="I82" s="295"/>
      <c r="J82" s="295"/>
    </row>
    <row r="83" spans="1:10" s="4" customFormat="1" ht="47.25" customHeight="1">
      <c r="A83" s="287" t="s">
        <v>254</v>
      </c>
      <c r="B83" s="330"/>
      <c r="C83" s="330"/>
      <c r="D83" s="331" t="s">
        <v>439</v>
      </c>
      <c r="E83" s="332"/>
      <c r="F83" s="351"/>
      <c r="G83" s="338">
        <f t="shared" si="2"/>
        <v>168347</v>
      </c>
      <c r="H83" s="292">
        <f>H84</f>
        <v>168347</v>
      </c>
      <c r="I83" s="292">
        <f>I84</f>
        <v>0</v>
      </c>
      <c r="J83" s="292">
        <f>J84</f>
        <v>0</v>
      </c>
    </row>
    <row r="84" spans="1:10" s="4" customFormat="1" ht="47.25" customHeight="1">
      <c r="A84" s="287" t="s">
        <v>255</v>
      </c>
      <c r="B84" s="330"/>
      <c r="C84" s="330"/>
      <c r="D84" s="331" t="s">
        <v>439</v>
      </c>
      <c r="E84" s="332"/>
      <c r="F84" s="351"/>
      <c r="G84" s="338">
        <f t="shared" si="2"/>
        <v>168347</v>
      </c>
      <c r="H84" s="292">
        <f>H85+H88</f>
        <v>168347</v>
      </c>
      <c r="I84" s="292">
        <f>I85+I88</f>
        <v>0</v>
      </c>
      <c r="J84" s="292">
        <f>J85+J88</f>
        <v>0</v>
      </c>
    </row>
    <row r="85" spans="1:10" s="4" customFormat="1" ht="50.25" customHeight="1">
      <c r="A85" s="198"/>
      <c r="B85" s="198" t="s">
        <v>440</v>
      </c>
      <c r="C85" s="198"/>
      <c r="D85" s="199" t="s">
        <v>390</v>
      </c>
      <c r="E85" s="333"/>
      <c r="F85" s="352"/>
      <c r="G85" s="308">
        <f t="shared" si="2"/>
        <v>40100</v>
      </c>
      <c r="H85" s="293">
        <f aca="true" t="shared" si="3" ref="H85:J86">H86</f>
        <v>40100</v>
      </c>
      <c r="I85" s="293">
        <f t="shared" si="3"/>
        <v>0</v>
      </c>
      <c r="J85" s="293">
        <f t="shared" si="3"/>
        <v>0</v>
      </c>
    </row>
    <row r="86" spans="1:10" s="302" customFormat="1" ht="72" customHeight="1">
      <c r="A86" s="204" t="s">
        <v>260</v>
      </c>
      <c r="B86" s="298" t="s">
        <v>261</v>
      </c>
      <c r="C86" s="298" t="s">
        <v>166</v>
      </c>
      <c r="D86" s="299" t="s">
        <v>262</v>
      </c>
      <c r="E86" s="334"/>
      <c r="F86" s="344"/>
      <c r="G86" s="317">
        <f t="shared" si="2"/>
        <v>40100</v>
      </c>
      <c r="H86" s="301">
        <f t="shared" si="3"/>
        <v>40100</v>
      </c>
      <c r="I86" s="301">
        <f t="shared" si="3"/>
        <v>0</v>
      </c>
      <c r="J86" s="301">
        <f t="shared" si="3"/>
        <v>0</v>
      </c>
    </row>
    <row r="87" spans="1:10" s="3" customFormat="1" ht="61.5" customHeight="1">
      <c r="A87" s="31"/>
      <c r="B87" s="32"/>
      <c r="C87" s="32"/>
      <c r="D87" s="33"/>
      <c r="E87" s="46" t="s">
        <v>351</v>
      </c>
      <c r="F87" s="341" t="s">
        <v>365</v>
      </c>
      <c r="G87" s="320">
        <f t="shared" si="2"/>
        <v>40100</v>
      </c>
      <c r="H87" s="294">
        <v>40100</v>
      </c>
      <c r="I87" s="295"/>
      <c r="J87" s="295"/>
    </row>
    <row r="88" spans="1:10" s="302" customFormat="1" ht="39.75" customHeight="1">
      <c r="A88" s="198"/>
      <c r="B88" s="198" t="s">
        <v>441</v>
      </c>
      <c r="C88" s="198"/>
      <c r="D88" s="199" t="s">
        <v>442</v>
      </c>
      <c r="E88" s="336"/>
      <c r="F88" s="345"/>
      <c r="G88" s="308">
        <f t="shared" si="2"/>
        <v>128247</v>
      </c>
      <c r="H88" s="308">
        <f>H89</f>
        <v>128247</v>
      </c>
      <c r="I88" s="308">
        <f>I89</f>
        <v>0</v>
      </c>
      <c r="J88" s="308">
        <f>J89</f>
        <v>0</v>
      </c>
    </row>
    <row r="89" spans="1:10" s="302" customFormat="1" ht="42" customHeight="1">
      <c r="A89" s="204" t="s">
        <v>278</v>
      </c>
      <c r="B89" s="298" t="s">
        <v>279</v>
      </c>
      <c r="C89" s="298" t="s">
        <v>276</v>
      </c>
      <c r="D89" s="299" t="s">
        <v>280</v>
      </c>
      <c r="E89" s="335"/>
      <c r="F89" s="344"/>
      <c r="G89" s="317">
        <f t="shared" si="2"/>
        <v>128247</v>
      </c>
      <c r="H89" s="301">
        <f>SUM(H90:H91)</f>
        <v>128247</v>
      </c>
      <c r="I89" s="301">
        <f>SUM(I90:I91)</f>
        <v>0</v>
      </c>
      <c r="J89" s="301">
        <f>SUM(J90:J91)</f>
        <v>0</v>
      </c>
    </row>
    <row r="90" spans="1:10" s="6" customFormat="1" ht="48" customHeight="1">
      <c r="A90" s="31"/>
      <c r="B90" s="32"/>
      <c r="C90" s="32"/>
      <c r="D90" s="33"/>
      <c r="E90" s="47" t="s">
        <v>352</v>
      </c>
      <c r="F90" s="341" t="s">
        <v>359</v>
      </c>
      <c r="G90" s="320">
        <f t="shared" si="2"/>
        <v>83300</v>
      </c>
      <c r="H90" s="294">
        <f>54300+7250+21750</f>
        <v>83300</v>
      </c>
      <c r="I90" s="295"/>
      <c r="J90" s="295"/>
    </row>
    <row r="91" spans="1:10" s="6" customFormat="1" ht="67.5" customHeight="1">
      <c r="A91" s="31"/>
      <c r="B91" s="32"/>
      <c r="C91" s="32"/>
      <c r="D91" s="33"/>
      <c r="E91" s="47" t="s">
        <v>475</v>
      </c>
      <c r="F91" s="341" t="s">
        <v>366</v>
      </c>
      <c r="G91" s="320">
        <f t="shared" si="2"/>
        <v>44947</v>
      </c>
      <c r="H91" s="294">
        <v>44947</v>
      </c>
      <c r="I91" s="295"/>
      <c r="J91" s="295"/>
    </row>
    <row r="92" spans="1:10" s="7" customFormat="1" ht="26.25" customHeight="1">
      <c r="A92" s="48" t="s">
        <v>99</v>
      </c>
      <c r="B92" s="48" t="s">
        <v>99</v>
      </c>
      <c r="C92" s="48" t="s">
        <v>99</v>
      </c>
      <c r="D92" s="45" t="s">
        <v>305</v>
      </c>
      <c r="E92" s="48" t="s">
        <v>99</v>
      </c>
      <c r="F92" s="337" t="s">
        <v>99</v>
      </c>
      <c r="G92" s="339">
        <f t="shared" si="2"/>
        <v>49029776.62</v>
      </c>
      <c r="H92" s="297">
        <f>H83+H76+H14</f>
        <v>42037285.129999995</v>
      </c>
      <c r="I92" s="297">
        <f>I83+I76+I14</f>
        <v>6992491.49</v>
      </c>
      <c r="J92" s="297">
        <f>J83+J76+J14</f>
        <v>6678920</v>
      </c>
    </row>
    <row r="93" spans="1:10" s="8" customFormat="1" ht="15.75" customHeight="1">
      <c r="A93" s="49"/>
      <c r="B93" s="50"/>
      <c r="C93" s="50"/>
      <c r="D93" s="51"/>
      <c r="E93" s="52"/>
      <c r="F93" s="52"/>
      <c r="G93" s="52"/>
      <c r="H93" s="53"/>
      <c r="I93" s="57"/>
      <c r="J93" s="57"/>
    </row>
    <row r="94" spans="1:10" s="8" customFormat="1" ht="18.75">
      <c r="A94" s="49"/>
      <c r="B94" s="50"/>
      <c r="C94" s="50"/>
      <c r="D94" s="51"/>
      <c r="E94" s="52"/>
      <c r="F94" s="52"/>
      <c r="G94" s="52"/>
      <c r="H94" s="53"/>
      <c r="I94" s="57"/>
      <c r="J94" s="57"/>
    </row>
    <row r="95" spans="1:10" s="9" customFormat="1" ht="24.75" customHeight="1">
      <c r="A95" s="54"/>
      <c r="B95" s="459" t="str">
        <f>додаток1!A116</f>
        <v>Секретар ради                                                                        Наталія  ІВАНЮТА</v>
      </c>
      <c r="C95" s="459"/>
      <c r="D95" s="459"/>
      <c r="E95" s="459"/>
      <c r="F95" s="459"/>
      <c r="G95" s="459"/>
      <c r="H95" s="459"/>
      <c r="I95" s="459"/>
      <c r="J95" s="459"/>
    </row>
    <row r="96" spans="1:10" s="8" customFormat="1" ht="18.75">
      <c r="A96" s="49"/>
      <c r="B96" s="55"/>
      <c r="C96" s="55"/>
      <c r="D96" s="56"/>
      <c r="E96" s="57"/>
      <c r="F96" s="57"/>
      <c r="G96" s="57"/>
      <c r="H96" s="53"/>
      <c r="I96" s="57"/>
      <c r="J96" s="57"/>
    </row>
    <row r="97" spans="1:11" s="8" customFormat="1" ht="18.75">
      <c r="A97" s="49"/>
      <c r="B97" s="55"/>
      <c r="C97" s="55"/>
      <c r="D97" s="56"/>
      <c r="E97" s="57"/>
      <c r="F97" s="57"/>
      <c r="G97" s="57"/>
      <c r="H97" s="57"/>
      <c r="I97" s="58"/>
      <c r="J97" s="58"/>
      <c r="K97" s="13"/>
    </row>
    <row r="98" spans="1:10" s="8" customFormat="1" ht="18.75">
      <c r="A98" s="49"/>
      <c r="B98" s="55"/>
      <c r="C98" s="55"/>
      <c r="D98" s="56"/>
      <c r="E98" s="57"/>
      <c r="F98" s="57"/>
      <c r="G98" s="57"/>
      <c r="H98" s="53"/>
      <c r="I98" s="57"/>
      <c r="J98" s="57"/>
    </row>
    <row r="99" spans="1:10" s="8" customFormat="1" ht="18.75">
      <c r="A99" s="49"/>
      <c r="B99" s="55"/>
      <c r="C99" s="55"/>
      <c r="D99" s="56"/>
      <c r="E99" s="57"/>
      <c r="F99" s="57"/>
      <c r="G99" s="57"/>
      <c r="H99" s="53"/>
      <c r="I99" s="57"/>
      <c r="J99" s="57"/>
    </row>
    <row r="100" spans="1:10" s="8" customFormat="1" ht="18.75">
      <c r="A100" s="49"/>
      <c r="B100" s="55"/>
      <c r="C100" s="55"/>
      <c r="D100" s="56"/>
      <c r="E100" s="57"/>
      <c r="F100" s="57"/>
      <c r="G100" s="57"/>
      <c r="H100" s="53"/>
      <c r="I100" s="57"/>
      <c r="J100" s="57"/>
    </row>
    <row r="101" spans="1:10" s="8" customFormat="1" ht="18.75">
      <c r="A101" s="49"/>
      <c r="B101" s="55"/>
      <c r="C101" s="55"/>
      <c r="D101" s="56"/>
      <c r="E101" s="57"/>
      <c r="F101" s="57"/>
      <c r="G101" s="57"/>
      <c r="H101" s="53"/>
      <c r="I101" s="57"/>
      <c r="J101" s="57"/>
    </row>
    <row r="102" spans="1:10" s="8" customFormat="1" ht="18.75">
      <c r="A102" s="49"/>
      <c r="B102" s="55"/>
      <c r="C102" s="55"/>
      <c r="D102" s="56"/>
      <c r="E102" s="57"/>
      <c r="F102" s="57"/>
      <c r="G102" s="57"/>
      <c r="H102" s="53"/>
      <c r="I102" s="57"/>
      <c r="J102" s="57"/>
    </row>
    <row r="103" spans="1:10" s="8" customFormat="1" ht="18.75">
      <c r="A103" s="49"/>
      <c r="B103" s="55"/>
      <c r="C103" s="55"/>
      <c r="D103" s="56"/>
      <c r="E103" s="57"/>
      <c r="F103" s="57"/>
      <c r="G103" s="57"/>
      <c r="H103" s="53"/>
      <c r="I103" s="57"/>
      <c r="J103" s="57"/>
    </row>
    <row r="104" spans="1:10" s="8" customFormat="1" ht="18.75">
      <c r="A104" s="49"/>
      <c r="B104" s="55"/>
      <c r="C104" s="55"/>
      <c r="D104" s="56"/>
      <c r="E104" s="57"/>
      <c r="F104" s="57"/>
      <c r="G104" s="57"/>
      <c r="H104" s="53"/>
      <c r="I104" s="57"/>
      <c r="J104" s="57"/>
    </row>
    <row r="105" spans="1:10" s="8" customFormat="1" ht="18.75">
      <c r="A105" s="49"/>
      <c r="B105" s="55"/>
      <c r="C105" s="55"/>
      <c r="D105" s="56"/>
      <c r="E105" s="57"/>
      <c r="F105" s="57"/>
      <c r="G105" s="57"/>
      <c r="H105" s="53"/>
      <c r="I105" s="57"/>
      <c r="J105" s="57"/>
    </row>
    <row r="106" spans="1:10" s="8" customFormat="1" ht="18.75">
      <c r="A106" s="49"/>
      <c r="B106" s="55"/>
      <c r="C106" s="55"/>
      <c r="D106" s="56"/>
      <c r="E106" s="57"/>
      <c r="F106" s="57"/>
      <c r="G106" s="57"/>
      <c r="H106" s="53"/>
      <c r="I106" s="57"/>
      <c r="J106" s="57"/>
    </row>
    <row r="107" spans="1:10" s="8" customFormat="1" ht="18.75">
      <c r="A107" s="49"/>
      <c r="B107" s="55"/>
      <c r="C107" s="55"/>
      <c r="D107" s="56"/>
      <c r="E107" s="57"/>
      <c r="F107" s="57"/>
      <c r="G107" s="57"/>
      <c r="H107" s="53"/>
      <c r="I107" s="57"/>
      <c r="J107" s="57"/>
    </row>
    <row r="108" spans="1:10" s="8" customFormat="1" ht="18.75">
      <c r="A108" s="49"/>
      <c r="B108" s="55"/>
      <c r="C108" s="55"/>
      <c r="D108" s="56"/>
      <c r="E108" s="57"/>
      <c r="F108" s="57"/>
      <c r="G108" s="57"/>
      <c r="H108" s="53"/>
      <c r="I108" s="57"/>
      <c r="J108" s="57"/>
    </row>
    <row r="109" spans="1:10" s="8" customFormat="1" ht="18.75">
      <c r="A109" s="49"/>
      <c r="B109" s="55"/>
      <c r="C109" s="55"/>
      <c r="D109" s="56"/>
      <c r="E109" s="57"/>
      <c r="F109" s="57"/>
      <c r="G109" s="57"/>
      <c r="H109" s="53"/>
      <c r="I109" s="57"/>
      <c r="J109" s="57"/>
    </row>
    <row r="110" spans="1:10" s="8" customFormat="1" ht="18.75">
      <c r="A110" s="49"/>
      <c r="B110" s="55"/>
      <c r="C110" s="55"/>
      <c r="D110" s="56"/>
      <c r="E110" s="57"/>
      <c r="F110" s="57"/>
      <c r="G110" s="57"/>
      <c r="H110" s="53"/>
      <c r="I110" s="57"/>
      <c r="J110" s="57"/>
    </row>
    <row r="111" spans="1:10" s="8" customFormat="1" ht="18.75">
      <c r="A111" s="49"/>
      <c r="B111" s="55"/>
      <c r="C111" s="55"/>
      <c r="D111" s="56"/>
      <c r="E111" s="57"/>
      <c r="F111" s="57"/>
      <c r="G111" s="57"/>
      <c r="H111" s="53"/>
      <c r="I111" s="57"/>
      <c r="J111" s="57"/>
    </row>
    <row r="112" spans="1:10" s="8" customFormat="1" ht="18.75">
      <c r="A112" s="49"/>
      <c r="B112" s="55"/>
      <c r="C112" s="55"/>
      <c r="D112" s="56"/>
      <c r="E112" s="57"/>
      <c r="F112" s="57"/>
      <c r="G112" s="57"/>
      <c r="H112" s="53"/>
      <c r="I112" s="57"/>
      <c r="J112" s="57"/>
    </row>
    <row r="113" spans="1:10" s="8" customFormat="1" ht="18.75">
      <c r="A113" s="49"/>
      <c r="B113" s="55"/>
      <c r="C113" s="55"/>
      <c r="D113" s="56"/>
      <c r="E113" s="57"/>
      <c r="F113" s="57"/>
      <c r="G113" s="57"/>
      <c r="H113" s="53"/>
      <c r="I113" s="57"/>
      <c r="J113" s="57"/>
    </row>
    <row r="114" spans="1:10" s="8" customFormat="1" ht="18.75">
      <c r="A114" s="49"/>
      <c r="B114" s="55"/>
      <c r="C114" s="55"/>
      <c r="D114" s="56"/>
      <c r="E114" s="57"/>
      <c r="F114" s="57"/>
      <c r="G114" s="57"/>
      <c r="H114" s="53"/>
      <c r="I114" s="57"/>
      <c r="J114" s="57"/>
    </row>
    <row r="115" spans="1:10" s="8" customFormat="1" ht="18.75">
      <c r="A115" s="49"/>
      <c r="B115" s="55"/>
      <c r="C115" s="55"/>
      <c r="D115" s="56"/>
      <c r="E115" s="57"/>
      <c r="F115" s="57"/>
      <c r="G115" s="57"/>
      <c r="H115" s="53"/>
      <c r="I115" s="57"/>
      <c r="J115" s="57"/>
    </row>
    <row r="116" spans="1:10" s="8" customFormat="1" ht="18.75">
      <c r="A116" s="49"/>
      <c r="B116" s="55"/>
      <c r="C116" s="55"/>
      <c r="D116" s="56"/>
      <c r="E116" s="57"/>
      <c r="F116" s="57"/>
      <c r="G116" s="57"/>
      <c r="H116" s="53"/>
      <c r="I116" s="57"/>
      <c r="J116" s="57"/>
    </row>
    <row r="117" spans="1:10" s="8" customFormat="1" ht="18.75">
      <c r="A117" s="49"/>
      <c r="B117" s="55"/>
      <c r="C117" s="55"/>
      <c r="D117" s="56"/>
      <c r="E117" s="57"/>
      <c r="F117" s="57"/>
      <c r="G117" s="57"/>
      <c r="H117" s="53"/>
      <c r="I117" s="57"/>
      <c r="J117" s="57"/>
    </row>
    <row r="118" spans="1:10" s="8" customFormat="1" ht="18.75">
      <c r="A118" s="49"/>
      <c r="B118" s="55"/>
      <c r="C118" s="55"/>
      <c r="D118" s="56"/>
      <c r="E118" s="57"/>
      <c r="F118" s="57"/>
      <c r="G118" s="57"/>
      <c r="H118" s="53"/>
      <c r="I118" s="57"/>
      <c r="J118" s="57"/>
    </row>
    <row r="119" spans="1:10" s="8" customFormat="1" ht="18.75">
      <c r="A119" s="49"/>
      <c r="B119" s="55"/>
      <c r="C119" s="55"/>
      <c r="D119" s="56"/>
      <c r="E119" s="57"/>
      <c r="F119" s="57"/>
      <c r="G119" s="57"/>
      <c r="H119" s="53"/>
      <c r="I119" s="57"/>
      <c r="J119" s="57"/>
    </row>
    <row r="120" spans="1:10" s="8" customFormat="1" ht="18.75">
      <c r="A120" s="49"/>
      <c r="B120" s="55"/>
      <c r="C120" s="55"/>
      <c r="D120" s="56"/>
      <c r="E120" s="57"/>
      <c r="F120" s="57"/>
      <c r="G120" s="57"/>
      <c r="H120" s="53"/>
      <c r="I120" s="57"/>
      <c r="J120" s="57"/>
    </row>
    <row r="121" spans="1:10" s="8" customFormat="1" ht="18.75">
      <c r="A121" s="49"/>
      <c r="B121" s="55"/>
      <c r="C121" s="55"/>
      <c r="D121" s="56"/>
      <c r="E121" s="57"/>
      <c r="F121" s="57"/>
      <c r="G121" s="57"/>
      <c r="H121" s="53"/>
      <c r="I121" s="57"/>
      <c r="J121" s="57"/>
    </row>
    <row r="122" spans="1:10" s="8" customFormat="1" ht="18.75">
      <c r="A122" s="49"/>
      <c r="B122" s="55"/>
      <c r="C122" s="55"/>
      <c r="D122" s="56"/>
      <c r="E122" s="57"/>
      <c r="F122" s="57"/>
      <c r="G122" s="57"/>
      <c r="H122" s="53"/>
      <c r="I122" s="57"/>
      <c r="J122" s="57"/>
    </row>
    <row r="123" spans="1:10" s="8" customFormat="1" ht="18.75">
      <c r="A123" s="49"/>
      <c r="B123" s="55"/>
      <c r="C123" s="55"/>
      <c r="D123" s="56"/>
      <c r="E123" s="57"/>
      <c r="F123" s="57"/>
      <c r="G123" s="57"/>
      <c r="H123" s="53"/>
      <c r="I123" s="57"/>
      <c r="J123" s="57"/>
    </row>
    <row r="124" spans="1:10" s="8" customFormat="1" ht="18.75">
      <c r="A124" s="49"/>
      <c r="B124" s="55"/>
      <c r="C124" s="55"/>
      <c r="D124" s="56"/>
      <c r="E124" s="57"/>
      <c r="F124" s="57"/>
      <c r="G124" s="57"/>
      <c r="H124" s="53"/>
      <c r="I124" s="57"/>
      <c r="J124" s="57"/>
    </row>
    <row r="125" spans="1:10" s="8" customFormat="1" ht="18.75">
      <c r="A125" s="49"/>
      <c r="B125" s="55"/>
      <c r="C125" s="55"/>
      <c r="D125" s="56"/>
      <c r="E125" s="57"/>
      <c r="F125" s="57"/>
      <c r="G125" s="57"/>
      <c r="H125" s="53"/>
      <c r="I125" s="57"/>
      <c r="J125" s="57"/>
    </row>
    <row r="126" spans="1:10" s="8" customFormat="1" ht="18.75">
      <c r="A126" s="49"/>
      <c r="B126" s="55"/>
      <c r="C126" s="55"/>
      <c r="D126" s="56"/>
      <c r="E126" s="57"/>
      <c r="F126" s="57"/>
      <c r="G126" s="57"/>
      <c r="H126" s="53"/>
      <c r="I126" s="57"/>
      <c r="J126" s="57"/>
    </row>
    <row r="127" spans="1:10" s="8" customFormat="1" ht="18.75">
      <c r="A127" s="49"/>
      <c r="B127" s="55"/>
      <c r="C127" s="55"/>
      <c r="D127" s="56"/>
      <c r="E127" s="57"/>
      <c r="F127" s="57"/>
      <c r="G127" s="57"/>
      <c r="H127" s="53"/>
      <c r="I127" s="57"/>
      <c r="J127" s="57"/>
    </row>
    <row r="128" spans="1:10" s="8" customFormat="1" ht="18.75">
      <c r="A128" s="49"/>
      <c r="B128" s="55"/>
      <c r="C128" s="55"/>
      <c r="D128" s="56"/>
      <c r="E128" s="57"/>
      <c r="F128" s="57"/>
      <c r="G128" s="57"/>
      <c r="H128" s="53"/>
      <c r="I128" s="57"/>
      <c r="J128" s="57"/>
    </row>
    <row r="129" spans="1:10" s="8" customFormat="1" ht="18.75">
      <c r="A129" s="49"/>
      <c r="B129" s="55"/>
      <c r="C129" s="55"/>
      <c r="D129" s="56"/>
      <c r="E129" s="57"/>
      <c r="F129" s="57"/>
      <c r="G129" s="57"/>
      <c r="H129" s="53"/>
      <c r="I129" s="57"/>
      <c r="J129" s="57"/>
    </row>
    <row r="130" spans="2:10" ht="18.75">
      <c r="B130" s="59"/>
      <c r="C130" s="59"/>
      <c r="D130" s="60"/>
      <c r="E130" s="58"/>
      <c r="F130" s="58"/>
      <c r="G130" s="58"/>
      <c r="H130" s="61"/>
      <c r="I130" s="58"/>
      <c r="J130" s="58"/>
    </row>
    <row r="131" spans="2:10" ht="18.75">
      <c r="B131" s="59"/>
      <c r="C131" s="59"/>
      <c r="D131" s="60"/>
      <c r="E131" s="58"/>
      <c r="F131" s="58"/>
      <c r="G131" s="58"/>
      <c r="H131" s="61"/>
      <c r="I131" s="58"/>
      <c r="J131" s="58"/>
    </row>
    <row r="132" spans="2:10" ht="18.75">
      <c r="B132" s="59"/>
      <c r="C132" s="59"/>
      <c r="D132" s="60"/>
      <c r="E132" s="58"/>
      <c r="F132" s="58"/>
      <c r="G132" s="58"/>
      <c r="H132" s="61"/>
      <c r="I132" s="58"/>
      <c r="J132" s="58"/>
    </row>
    <row r="133" spans="2:10" ht="18.75">
      <c r="B133" s="59"/>
      <c r="C133" s="59"/>
      <c r="D133" s="60"/>
      <c r="E133" s="58"/>
      <c r="F133" s="58"/>
      <c r="G133" s="58"/>
      <c r="H133" s="61"/>
      <c r="I133" s="58"/>
      <c r="J133" s="58"/>
    </row>
    <row r="134" spans="2:10" ht="18.75">
      <c r="B134" s="59"/>
      <c r="C134" s="59"/>
      <c r="D134" s="60"/>
      <c r="E134" s="58"/>
      <c r="F134" s="58"/>
      <c r="G134" s="58"/>
      <c r="H134" s="61"/>
      <c r="I134" s="58"/>
      <c r="J134" s="58"/>
    </row>
    <row r="135" spans="2:10" ht="18.75">
      <c r="B135" s="59"/>
      <c r="C135" s="59"/>
      <c r="D135" s="60"/>
      <c r="E135" s="58"/>
      <c r="F135" s="58"/>
      <c r="G135" s="58"/>
      <c r="H135" s="61"/>
      <c r="I135" s="58"/>
      <c r="J135" s="58"/>
    </row>
    <row r="136" spans="2:10" ht="18.75">
      <c r="B136" s="59"/>
      <c r="C136" s="59"/>
      <c r="D136" s="60"/>
      <c r="E136" s="58"/>
      <c r="F136" s="58"/>
      <c r="G136" s="58"/>
      <c r="H136" s="61"/>
      <c r="I136" s="58"/>
      <c r="J136" s="58"/>
    </row>
    <row r="137" spans="2:10" ht="18.75">
      <c r="B137" s="59"/>
      <c r="C137" s="59"/>
      <c r="D137" s="60"/>
      <c r="E137" s="58"/>
      <c r="F137" s="58"/>
      <c r="G137" s="58"/>
      <c r="H137" s="61"/>
      <c r="I137" s="58"/>
      <c r="J137" s="58"/>
    </row>
    <row r="138" spans="2:10" ht="18.75">
      <c r="B138" s="59"/>
      <c r="C138" s="59"/>
      <c r="D138" s="60"/>
      <c r="E138" s="58"/>
      <c r="F138" s="58"/>
      <c r="G138" s="58"/>
      <c r="H138" s="61"/>
      <c r="I138" s="58"/>
      <c r="J138" s="58"/>
    </row>
    <row r="139" spans="2:10" ht="18.75">
      <c r="B139" s="59"/>
      <c r="C139" s="59"/>
      <c r="D139" s="60"/>
      <c r="E139" s="58"/>
      <c r="F139" s="58"/>
      <c r="G139" s="58"/>
      <c r="H139" s="61"/>
      <c r="I139" s="58"/>
      <c r="J139" s="58"/>
    </row>
    <row r="140" spans="2:10" ht="18.75">
      <c r="B140" s="59"/>
      <c r="C140" s="59"/>
      <c r="D140" s="60"/>
      <c r="E140" s="58"/>
      <c r="F140" s="58"/>
      <c r="G140" s="58"/>
      <c r="H140" s="61"/>
      <c r="I140" s="58"/>
      <c r="J140" s="58"/>
    </row>
    <row r="141" spans="2:10" ht="18.75">
      <c r="B141" s="59"/>
      <c r="C141" s="59"/>
      <c r="D141" s="60"/>
      <c r="E141" s="58"/>
      <c r="F141" s="58"/>
      <c r="G141" s="58"/>
      <c r="H141" s="61"/>
      <c r="I141" s="58"/>
      <c r="J141" s="58"/>
    </row>
    <row r="142" spans="2:10" ht="18.75">
      <c r="B142" s="59"/>
      <c r="C142" s="59"/>
      <c r="D142" s="60"/>
      <c r="E142" s="58"/>
      <c r="F142" s="58"/>
      <c r="G142" s="58"/>
      <c r="H142" s="61"/>
      <c r="I142" s="58"/>
      <c r="J142" s="58"/>
    </row>
    <row r="143" spans="2:10" ht="18.75">
      <c r="B143" s="59"/>
      <c r="C143" s="59"/>
      <c r="D143" s="60"/>
      <c r="E143" s="58"/>
      <c r="F143" s="58"/>
      <c r="G143" s="58"/>
      <c r="H143" s="61"/>
      <c r="I143" s="58"/>
      <c r="J143" s="58"/>
    </row>
    <row r="144" spans="2:10" ht="18.75">
      <c r="B144" s="59"/>
      <c r="C144" s="59"/>
      <c r="D144" s="60"/>
      <c r="E144" s="58"/>
      <c r="F144" s="58"/>
      <c r="G144" s="58"/>
      <c r="H144" s="61"/>
      <c r="I144" s="58"/>
      <c r="J144" s="58"/>
    </row>
    <row r="145" spans="2:10" ht="18.75">
      <c r="B145" s="59"/>
      <c r="C145" s="59"/>
      <c r="D145" s="60"/>
      <c r="E145" s="58"/>
      <c r="F145" s="58"/>
      <c r="G145" s="58"/>
      <c r="H145" s="61"/>
      <c r="I145" s="58"/>
      <c r="J145" s="58"/>
    </row>
    <row r="146" spans="2:10" ht="18.75">
      <c r="B146" s="59"/>
      <c r="C146" s="59"/>
      <c r="D146" s="60"/>
      <c r="E146" s="58"/>
      <c r="F146" s="58"/>
      <c r="G146" s="58"/>
      <c r="H146" s="61"/>
      <c r="I146" s="58"/>
      <c r="J146" s="58"/>
    </row>
    <row r="147" spans="2:10" ht="18.75">
      <c r="B147" s="59"/>
      <c r="C147" s="59"/>
      <c r="D147" s="60"/>
      <c r="E147" s="58"/>
      <c r="F147" s="58"/>
      <c r="G147" s="58"/>
      <c r="H147" s="61"/>
      <c r="I147" s="58"/>
      <c r="J147" s="58"/>
    </row>
    <row r="148" spans="2:10" ht="18.75">
      <c r="B148" s="59"/>
      <c r="C148" s="59"/>
      <c r="D148" s="60"/>
      <c r="E148" s="58"/>
      <c r="F148" s="58"/>
      <c r="G148" s="58"/>
      <c r="H148" s="61"/>
      <c r="I148" s="58"/>
      <c r="J148" s="58"/>
    </row>
    <row r="149" spans="2:10" ht="18.75">
      <c r="B149" s="59"/>
      <c r="C149" s="59"/>
      <c r="D149" s="60"/>
      <c r="E149" s="58"/>
      <c r="F149" s="58"/>
      <c r="G149" s="58"/>
      <c r="H149" s="61"/>
      <c r="I149" s="58"/>
      <c r="J149" s="58"/>
    </row>
    <row r="150" spans="2:10" ht="18.75">
      <c r="B150" s="59"/>
      <c r="C150" s="59"/>
      <c r="D150" s="60"/>
      <c r="E150" s="58"/>
      <c r="F150" s="58"/>
      <c r="G150" s="58"/>
      <c r="H150" s="61"/>
      <c r="I150" s="58"/>
      <c r="J150" s="58"/>
    </row>
    <row r="151" spans="2:10" ht="18.75">
      <c r="B151" s="59"/>
      <c r="C151" s="59"/>
      <c r="D151" s="60"/>
      <c r="E151" s="58"/>
      <c r="F151" s="58"/>
      <c r="G151" s="58"/>
      <c r="H151" s="61"/>
      <c r="I151" s="58"/>
      <c r="J151" s="58"/>
    </row>
    <row r="152" spans="2:10" ht="18.75">
      <c r="B152" s="59"/>
      <c r="C152" s="59"/>
      <c r="D152" s="60"/>
      <c r="E152" s="58"/>
      <c r="F152" s="58"/>
      <c r="G152" s="58"/>
      <c r="H152" s="61"/>
      <c r="I152" s="58"/>
      <c r="J152" s="58"/>
    </row>
    <row r="153" spans="2:10" ht="18.75">
      <c r="B153" s="59"/>
      <c r="C153" s="59"/>
      <c r="D153" s="60"/>
      <c r="E153" s="58"/>
      <c r="F153" s="58"/>
      <c r="G153" s="58"/>
      <c r="H153" s="61"/>
      <c r="I153" s="58"/>
      <c r="J153" s="58"/>
    </row>
    <row r="154" spans="2:10" ht="18.75">
      <c r="B154" s="59"/>
      <c r="C154" s="59"/>
      <c r="D154" s="60"/>
      <c r="E154" s="58"/>
      <c r="F154" s="58"/>
      <c r="G154" s="58"/>
      <c r="H154" s="61"/>
      <c r="I154" s="58"/>
      <c r="J154" s="58"/>
    </row>
    <row r="155" spans="2:10" ht="18.75">
      <c r="B155" s="59"/>
      <c r="C155" s="59"/>
      <c r="D155" s="60"/>
      <c r="E155" s="58"/>
      <c r="F155" s="58"/>
      <c r="G155" s="58"/>
      <c r="H155" s="61"/>
      <c r="I155" s="58"/>
      <c r="J155" s="58"/>
    </row>
    <row r="156" spans="2:10" ht="18.75">
      <c r="B156" s="59"/>
      <c r="C156" s="59"/>
      <c r="D156" s="60"/>
      <c r="E156" s="58"/>
      <c r="F156" s="58"/>
      <c r="G156" s="58"/>
      <c r="H156" s="61"/>
      <c r="I156" s="58"/>
      <c r="J156" s="58"/>
    </row>
    <row r="157" spans="2:10" ht="18.75">
      <c r="B157" s="59"/>
      <c r="C157" s="59"/>
      <c r="D157" s="60"/>
      <c r="E157" s="58"/>
      <c r="F157" s="58"/>
      <c r="G157" s="58"/>
      <c r="H157" s="61"/>
      <c r="I157" s="58"/>
      <c r="J157" s="58"/>
    </row>
    <row r="158" spans="2:10" ht="18.75">
      <c r="B158" s="59"/>
      <c r="C158" s="59"/>
      <c r="D158" s="60"/>
      <c r="E158" s="58"/>
      <c r="F158" s="58"/>
      <c r="G158" s="58"/>
      <c r="H158" s="61"/>
      <c r="I158" s="58"/>
      <c r="J158" s="58"/>
    </row>
    <row r="159" spans="2:10" ht="18.75">
      <c r="B159" s="59"/>
      <c r="C159" s="59"/>
      <c r="D159" s="60"/>
      <c r="E159" s="58"/>
      <c r="F159" s="58"/>
      <c r="G159" s="58"/>
      <c r="H159" s="61"/>
      <c r="I159" s="58"/>
      <c r="J159" s="58"/>
    </row>
    <row r="160" spans="2:10" ht="18.75">
      <c r="B160" s="59"/>
      <c r="C160" s="59"/>
      <c r="D160" s="60"/>
      <c r="E160" s="58"/>
      <c r="F160" s="58"/>
      <c r="G160" s="58"/>
      <c r="H160" s="61"/>
      <c r="I160" s="58"/>
      <c r="J160" s="58"/>
    </row>
    <row r="161" spans="2:10" ht="18.75">
      <c r="B161" s="59"/>
      <c r="C161" s="59"/>
      <c r="D161" s="60"/>
      <c r="E161" s="58"/>
      <c r="F161" s="58"/>
      <c r="G161" s="58"/>
      <c r="H161" s="61"/>
      <c r="I161" s="58"/>
      <c r="J161" s="58"/>
    </row>
    <row r="162" spans="2:10" ht="18.75">
      <c r="B162" s="59"/>
      <c r="C162" s="59"/>
      <c r="D162" s="60"/>
      <c r="E162" s="58"/>
      <c r="F162" s="58"/>
      <c r="G162" s="58"/>
      <c r="H162" s="61"/>
      <c r="I162" s="58"/>
      <c r="J162" s="58"/>
    </row>
    <row r="163" spans="2:10" ht="18.75">
      <c r="B163" s="59"/>
      <c r="C163" s="59"/>
      <c r="D163" s="60"/>
      <c r="E163" s="58"/>
      <c r="F163" s="58"/>
      <c r="G163" s="58"/>
      <c r="H163" s="61"/>
      <c r="I163" s="58"/>
      <c r="J163" s="58"/>
    </row>
    <row r="164" spans="2:10" ht="18.75">
      <c r="B164" s="59"/>
      <c r="C164" s="59"/>
      <c r="D164" s="60"/>
      <c r="E164" s="58"/>
      <c r="F164" s="58"/>
      <c r="G164" s="58"/>
      <c r="H164" s="61"/>
      <c r="I164" s="58"/>
      <c r="J164" s="58"/>
    </row>
    <row r="165" spans="2:10" ht="18.75">
      <c r="B165" s="59"/>
      <c r="C165" s="59"/>
      <c r="D165" s="60"/>
      <c r="E165" s="58"/>
      <c r="F165" s="58"/>
      <c r="G165" s="58"/>
      <c r="H165" s="61"/>
      <c r="I165" s="58"/>
      <c r="J165" s="58"/>
    </row>
    <row r="166" spans="2:10" ht="18.75">
      <c r="B166" s="59"/>
      <c r="C166" s="59"/>
      <c r="D166" s="60"/>
      <c r="E166" s="58"/>
      <c r="F166" s="58"/>
      <c r="G166" s="58"/>
      <c r="H166" s="61"/>
      <c r="I166" s="58"/>
      <c r="J166" s="58"/>
    </row>
    <row r="167" spans="2:10" ht="18.75">
      <c r="B167" s="59"/>
      <c r="C167" s="59"/>
      <c r="D167" s="60"/>
      <c r="E167" s="58"/>
      <c r="F167" s="58"/>
      <c r="G167" s="58"/>
      <c r="H167" s="61"/>
      <c r="I167" s="58"/>
      <c r="J167" s="58"/>
    </row>
    <row r="168" spans="2:10" ht="18.75">
      <c r="B168" s="59"/>
      <c r="C168" s="59"/>
      <c r="D168" s="60"/>
      <c r="E168" s="58"/>
      <c r="F168" s="58"/>
      <c r="G168" s="58"/>
      <c r="H168" s="61"/>
      <c r="I168" s="58"/>
      <c r="J168" s="58"/>
    </row>
    <row r="169" spans="2:10" ht="18.75">
      <c r="B169" s="59"/>
      <c r="C169" s="59"/>
      <c r="D169" s="60"/>
      <c r="E169" s="58"/>
      <c r="F169" s="58"/>
      <c r="G169" s="58"/>
      <c r="H169" s="61"/>
      <c r="I169" s="58"/>
      <c r="J169" s="58"/>
    </row>
    <row r="170" spans="2:10" ht="18.75">
      <c r="B170" s="59"/>
      <c r="C170" s="59"/>
      <c r="D170" s="60"/>
      <c r="E170" s="58"/>
      <c r="F170" s="58"/>
      <c r="G170" s="58"/>
      <c r="H170" s="61"/>
      <c r="I170" s="58"/>
      <c r="J170" s="58"/>
    </row>
    <row r="171" spans="2:10" ht="18.75">
      <c r="B171" s="59"/>
      <c r="C171" s="59"/>
      <c r="D171" s="60"/>
      <c r="E171" s="58"/>
      <c r="F171" s="58"/>
      <c r="G171" s="58"/>
      <c r="H171" s="61"/>
      <c r="I171" s="58"/>
      <c r="J171" s="58"/>
    </row>
    <row r="172" spans="2:10" ht="18.75">
      <c r="B172" s="59"/>
      <c r="C172" s="59"/>
      <c r="D172" s="60"/>
      <c r="E172" s="58"/>
      <c r="F172" s="58"/>
      <c r="G172" s="58"/>
      <c r="H172" s="61"/>
      <c r="I172" s="58"/>
      <c r="J172" s="58"/>
    </row>
    <row r="173" spans="2:10" ht="18.75">
      <c r="B173" s="59"/>
      <c r="C173" s="59"/>
      <c r="D173" s="60"/>
      <c r="E173" s="58"/>
      <c r="F173" s="58"/>
      <c r="G173" s="58"/>
      <c r="H173" s="61"/>
      <c r="I173" s="58"/>
      <c r="J173" s="58"/>
    </row>
    <row r="174" spans="2:10" ht="18.75">
      <c r="B174" s="59"/>
      <c r="C174" s="59"/>
      <c r="D174" s="60"/>
      <c r="E174" s="58"/>
      <c r="F174" s="58"/>
      <c r="G174" s="58"/>
      <c r="H174" s="61"/>
      <c r="I174" s="58"/>
      <c r="J174" s="58"/>
    </row>
    <row r="175" spans="2:10" ht="18.75">
      <c r="B175" s="59"/>
      <c r="C175" s="59"/>
      <c r="D175" s="60"/>
      <c r="E175" s="58"/>
      <c r="F175" s="58"/>
      <c r="G175" s="58"/>
      <c r="H175" s="61"/>
      <c r="I175" s="58"/>
      <c r="J175" s="58"/>
    </row>
    <row r="176" spans="2:10" ht="18.75">
      <c r="B176" s="59"/>
      <c r="C176" s="59"/>
      <c r="D176" s="60"/>
      <c r="E176" s="58"/>
      <c r="F176" s="58"/>
      <c r="G176" s="58"/>
      <c r="H176" s="61"/>
      <c r="I176" s="58"/>
      <c r="J176" s="58"/>
    </row>
    <row r="177" spans="2:10" ht="18.75">
      <c r="B177" s="59"/>
      <c r="C177" s="59"/>
      <c r="D177" s="60"/>
      <c r="E177" s="58"/>
      <c r="F177" s="58"/>
      <c r="G177" s="58"/>
      <c r="H177" s="61"/>
      <c r="I177" s="58"/>
      <c r="J177" s="58"/>
    </row>
    <row r="178" spans="2:10" ht="18.75">
      <c r="B178" s="59"/>
      <c r="C178" s="59"/>
      <c r="D178" s="60"/>
      <c r="E178" s="58"/>
      <c r="F178" s="58"/>
      <c r="G178" s="58"/>
      <c r="H178" s="61"/>
      <c r="I178" s="58"/>
      <c r="J178" s="58"/>
    </row>
    <row r="179" spans="2:10" ht="18.75">
      <c r="B179" s="59"/>
      <c r="C179" s="59"/>
      <c r="D179" s="60"/>
      <c r="E179" s="58"/>
      <c r="F179" s="58"/>
      <c r="G179" s="58"/>
      <c r="H179" s="61"/>
      <c r="I179" s="58"/>
      <c r="J179" s="58"/>
    </row>
    <row r="180" spans="2:10" ht="18.75">
      <c r="B180" s="59"/>
      <c r="C180" s="59"/>
      <c r="D180" s="60"/>
      <c r="E180" s="58"/>
      <c r="F180" s="58"/>
      <c r="G180" s="58"/>
      <c r="H180" s="61"/>
      <c r="I180" s="58"/>
      <c r="J180" s="58"/>
    </row>
    <row r="181" spans="2:10" ht="18.75">
      <c r="B181" s="59"/>
      <c r="C181" s="59"/>
      <c r="D181" s="60"/>
      <c r="E181" s="58"/>
      <c r="F181" s="58"/>
      <c r="G181" s="58"/>
      <c r="H181" s="61"/>
      <c r="I181" s="58"/>
      <c r="J181" s="58"/>
    </row>
    <row r="182" spans="2:10" ht="18.75">
      <c r="B182" s="59"/>
      <c r="C182" s="59"/>
      <c r="D182" s="60"/>
      <c r="E182" s="58"/>
      <c r="F182" s="58"/>
      <c r="G182" s="58"/>
      <c r="H182" s="61"/>
      <c r="I182" s="58"/>
      <c r="J182" s="58"/>
    </row>
    <row r="183" spans="2:10" ht="18.75">
      <c r="B183" s="59"/>
      <c r="C183" s="59"/>
      <c r="D183" s="60"/>
      <c r="E183" s="58"/>
      <c r="F183" s="58"/>
      <c r="G183" s="58"/>
      <c r="H183" s="61"/>
      <c r="I183" s="58"/>
      <c r="J183" s="58"/>
    </row>
    <row r="184" spans="2:10" ht="18.75">
      <c r="B184" s="59"/>
      <c r="C184" s="59"/>
      <c r="D184" s="60"/>
      <c r="E184" s="58"/>
      <c r="F184" s="58"/>
      <c r="G184" s="58"/>
      <c r="H184" s="61"/>
      <c r="I184" s="58"/>
      <c r="J184" s="58"/>
    </row>
    <row r="185" spans="2:10" ht="18.75">
      <c r="B185" s="59"/>
      <c r="C185" s="59"/>
      <c r="D185" s="60"/>
      <c r="E185" s="58"/>
      <c r="F185" s="58"/>
      <c r="G185" s="58"/>
      <c r="H185" s="61"/>
      <c r="I185" s="58"/>
      <c r="J185" s="58"/>
    </row>
    <row r="186" spans="2:10" ht="18.75">
      <c r="B186" s="59"/>
      <c r="C186" s="59"/>
      <c r="D186" s="60"/>
      <c r="E186" s="58"/>
      <c r="F186" s="58"/>
      <c r="G186" s="58"/>
      <c r="H186" s="61"/>
      <c r="I186" s="58"/>
      <c r="J186" s="58"/>
    </row>
    <row r="187" spans="2:10" ht="18.75">
      <c r="B187" s="59"/>
      <c r="C187" s="59"/>
      <c r="D187" s="60"/>
      <c r="E187" s="58"/>
      <c r="F187" s="58"/>
      <c r="G187" s="58"/>
      <c r="H187" s="61"/>
      <c r="I187" s="58"/>
      <c r="J187" s="58"/>
    </row>
    <row r="188" spans="2:10" ht="18.75">
      <c r="B188" s="59"/>
      <c r="C188" s="59"/>
      <c r="D188" s="60"/>
      <c r="E188" s="58"/>
      <c r="F188" s="58"/>
      <c r="G188" s="58"/>
      <c r="H188" s="61"/>
      <c r="I188" s="58"/>
      <c r="J188" s="58"/>
    </row>
    <row r="189" spans="2:10" ht="18.75">
      <c r="B189" s="59"/>
      <c r="C189" s="59"/>
      <c r="D189" s="60"/>
      <c r="E189" s="58"/>
      <c r="F189" s="58"/>
      <c r="G189" s="58"/>
      <c r="H189" s="61"/>
      <c r="I189" s="58"/>
      <c r="J189" s="58"/>
    </row>
    <row r="190" spans="2:10" ht="18.75">
      <c r="B190" s="59"/>
      <c r="C190" s="59"/>
      <c r="D190" s="60"/>
      <c r="E190" s="58"/>
      <c r="F190" s="58"/>
      <c r="G190" s="58"/>
      <c r="H190" s="61"/>
      <c r="I190" s="58"/>
      <c r="J190" s="58"/>
    </row>
  </sheetData>
  <sheetProtection/>
  <mergeCells count="19">
    <mergeCell ref="I11:J11"/>
    <mergeCell ref="B95:J95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2021-09-20T06:45:23Z</cp:lastPrinted>
  <dcterms:created xsi:type="dcterms:W3CDTF">2010-12-30T07:19:15Z</dcterms:created>
  <dcterms:modified xsi:type="dcterms:W3CDTF">2021-09-20T06:58:55Z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